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60b35c3bdcd4f77/Desktop/"/>
    </mc:Choice>
  </mc:AlternateContent>
  <xr:revisionPtr revIDLastSave="1" documentId="8_{549C9BD5-A5BF-4838-BF07-983983CC056C}" xr6:coauthVersionLast="47" xr6:coauthVersionMax="47" xr10:uidLastSave="{5E482BB9-3403-4FFC-A0E8-A759EF18DBFB}"/>
  <bookViews>
    <workbookView xWindow="-108" yWindow="-108" windowWidth="23256" windowHeight="12456" xr2:uid="{00000000-000D-0000-FFFF-FFFF00000000}"/>
  </bookViews>
  <sheets>
    <sheet name="Assumptions" sheetId="1" r:id="rId1"/>
    <sheet name="Financials" sheetId="4" r:id="rId2"/>
    <sheet name="Initial Stud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o">#REF!</definedName>
    <definedName name="\p">#REF!</definedName>
    <definedName name="\s">#REF!</definedName>
    <definedName name="_______yy2010">'[1]MZECH-Master Plan'!$A$2:$A$1100</definedName>
    <definedName name="___ccr1" hidden="1">{#N/A,#N/A,TRUE,"Cover";#N/A,#N/A,TRUE,"Conts";#N/A,#N/A,TRUE,"VOS";#N/A,#N/A,TRUE,"Warrington";#N/A,#N/A,TRUE,"Widnes"}</definedName>
    <definedName name="___yy2010">'[1]MZECH-Master Plan'!$A$2:$A$1100</definedName>
    <definedName name="__123Graph_C" hidden="1">'[2] N Finansal Eğri'!#REF!</definedName>
    <definedName name="__123Graph_D" hidden="1">'[2] N Finansal Eğri'!#REF!</definedName>
    <definedName name="__yy2010">'[1]MZECH-Master Plan'!$A$2:$A$1100</definedName>
    <definedName name="_3__123Graph_AChart_1A" hidden="1">#REF!</definedName>
    <definedName name="_6__123Graph_BChart_1A" hidden="1">#REF!</definedName>
    <definedName name="_ccr1" hidden="1">{#N/A,#N/A,TRUE,"Cover";#N/A,#N/A,TRUE,"Conts";#N/A,#N/A,TRUE,"VOS";#N/A,#N/A,TRUE,"Warrington";#N/A,#N/A,TRUE,"Widnes"}</definedName>
    <definedName name="_Fill" hidden="1">[3]GRSummary!#REF!</definedName>
    <definedName name="_Key1" hidden="1">#REF!</definedName>
    <definedName name="_Key2" hidden="1">'[4]LTR-2'!#REF!</definedName>
    <definedName name="_kkk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Sort" hidden="1">#REF!</definedName>
    <definedName name="AccessDatabase" hidden="1">"R:\GUEST\MIKE\TABUK\FURNIT.mdb"</definedName>
    <definedName name="adada" hidden="1">{#N/A,#N/A,TRUE,"Cover";#N/A,#N/A,TRUE,"Conts";#N/A,#N/A,TRUE,"VOS";#N/A,#N/A,TRUE,"Warrington";#N/A,#N/A,TRUE,"Widnes"}</definedName>
    <definedName name="AFDA" hidden="1">{#N/A,#N/A,TRUE,"Cover";#N/A,#N/A,TRUE,"Conts";#N/A,#N/A,TRUE,"VOS";#N/A,#N/A,TRUE,"Warrington";#N/A,#N/A,TRUE,"Widnes"}</definedName>
    <definedName name="ahmed">#REF!</definedName>
    <definedName name="ant">#REF!</definedName>
    <definedName name="anticipated">'[5]Contracts Lists'!$M:$M</definedName>
    <definedName name="asd" hidden="1">#REF!</definedName>
    <definedName name="bamount">'[5]Contracts Lists'!$S:$S</definedName>
    <definedName name="bbbbbb" hidden="1">'[2] N Finansal Eğri'!#REF!</definedName>
    <definedName name="bincentb">'[5]Contracts Lists'!$P:$P</definedName>
    <definedName name="cashfl" hidden="1">{#N/A,#N/A,TRUE,"Cover";#N/A,#N/A,TRUE,"Conts";#N/A,#N/A,TRUE,"VOS";#N/A,#N/A,TRUE,"Warrington";#N/A,#N/A,TRUE,"Widnes"}</definedName>
    <definedName name="CCR" hidden="1">{#N/A,#N/A,TRUE,"Cover";#N/A,#N/A,TRUE,"Conts";#N/A,#N/A,TRUE,"VOS";#N/A,#N/A,TRUE,"Warrington";#N/A,#N/A,TRUE,"Widnes"}</definedName>
    <definedName name="Contracts">'[5]Contracts Lists'!$A:$A</definedName>
    <definedName name="contracts1">'[5]Summary-'!$A:$A</definedName>
    <definedName name="contracts2">'[5]Summary-'!$A$5:$A$618</definedName>
    <definedName name="contracts3">[5]Sheet2!$A:$A</definedName>
    <definedName name="cost">'[5]Summary-'!$CO:$CO</definedName>
    <definedName name="cost2">'[5]Summary-'!$C$5:$GK$430</definedName>
    <definedName name="cvc">'[6]Sales Plan'!#REF!</definedName>
    <definedName name="date">'[5]Summary-'!$C$4:$DE$4</definedName>
    <definedName name="date1">#REF!</definedName>
    <definedName name="DFSDFDSF" hidden="1">{#N/A,#N/A,TRUE,"Cover";#N/A,#N/A,TRUE,"Conts";#N/A,#N/A,TRUE,"VOS";#N/A,#N/A,TRUE,"Warrington";#N/A,#N/A,TRUE,"Widnes"}</definedName>
    <definedName name="Dg" hidden="1">#REF!</definedName>
    <definedName name="dgafsga" hidden="1">#REF!</definedName>
    <definedName name="dghsdghd" hidden="1">{#N/A,#N/A,TRUE,"Cover";#N/A,#N/A,TRUE,"Conts";#N/A,#N/A,TRUE,"VOS";#N/A,#N/A,TRUE,"Warrington";#N/A,#N/A,TRUE,"Widnes"}</definedName>
    <definedName name="ds" hidden="1">[3]GRSummary!#REF!</definedName>
    <definedName name="DsdSDsdSDASDASDAS" hidden="1">{#N/A,#N/A,TRUE,"Cover";#N/A,#N/A,TRUE,"Conts";#N/A,#N/A,TRUE,"VOS";#N/A,#N/A,TRUE,"Warrington";#N/A,#N/A,TRUE,"Widnes"}</definedName>
    <definedName name="FDASFdf" hidden="1">{#N/A,#N/A,TRUE,"Cover";#N/A,#N/A,TRUE,"Conts";#N/A,#N/A,TRUE,"VOS";#N/A,#N/A,TRUE,"Warrington";#N/A,#N/A,TRUE,"Widnes"}</definedName>
    <definedName name="Fees.1" hidden="1">{#N/A,#N/A,TRUE,"Cover";#N/A,#N/A,TRUE,"Conts";#N/A,#N/A,TRUE,"VOS";#N/A,#N/A,TRUE,"Warrington";#N/A,#N/A,TRUE,"Widnes"}</definedName>
    <definedName name="gbbbb">#REF!</definedName>
    <definedName name="IIF__PAGE_NUM___5___BUILDING_COSTS____SITEWORK_COSTS">#REF!</definedName>
    <definedName name="infra1">#REF!</definedName>
    <definedName name="infra2">#REF!</definedName>
    <definedName name="KFill" hidden="1">#REF!</definedName>
    <definedName name="king" hidden="1">#REF!</definedName>
    <definedName name="kkk" hidden="1">#REF!</definedName>
    <definedName name="kkkattab" hidden="1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ncent">'[5]Contracts Lists'!$K:$K</definedName>
    <definedName name="mincentb">'[5]Contracts Lists'!$O:$O</definedName>
    <definedName name="nakits" hidden="1">'[7]Finansal tamamlanma Eğrisi'!#REF!</definedName>
    <definedName name="nnnnnnnn" hidden="1">'[7]Finansal tamamlanma Eğrisi'!#REF!</definedName>
    <definedName name="nypaid">[5]Sheet2!$B:$B</definedName>
    <definedName name="Occupancy_Status">#REF!</definedName>
    <definedName name="otherinfra">#REF!</definedName>
    <definedName name="P_21Mech_S">#REF!</definedName>
    <definedName name="P_22">#REF!</definedName>
    <definedName name="P_23">#REF!</definedName>
    <definedName name="P_24">#REF!</definedName>
    <definedName name="P_25">#REF!</definedName>
    <definedName name="P_26">#REF!</definedName>
    <definedName name="P_27">#REF!</definedName>
    <definedName name="P_28">#REF!</definedName>
    <definedName name="P_29">#REF!</definedName>
    <definedName name="P_30">#REF!</definedName>
    <definedName name="P_31">#REF!</definedName>
    <definedName name="paid">'[5]Contracts Lists'!$G:$G</definedName>
    <definedName name="Pattern_List">'[8]Pattern List'!$B$2:$C$56</definedName>
    <definedName name="plastincent">'[5]Contracts Lists'!$L:$L</definedName>
    <definedName name="poa">'[5]Contracts Lists'!$Q:$Q</definedName>
    <definedName name="Print_Area_MI">#REF!</definedName>
    <definedName name="qaefreare" hidden="1">#REF!</definedName>
    <definedName name="Red.">#REF!</definedName>
    <definedName name="Rigion">#REF!</definedName>
    <definedName name="Rigion2">#REF!</definedName>
    <definedName name="rthtrhfhrw" hidden="1">#REF!</definedName>
    <definedName name="Schedule">#REF!</definedName>
    <definedName name="SDFDASF" hidden="1">{#N/A,#N/A,TRUE,"Cover";#N/A,#N/A,TRUE,"Conts";#N/A,#N/A,TRUE,"VOS";#N/A,#N/A,TRUE,"Warrington";#N/A,#N/A,TRUE,"Widnes"}</definedName>
    <definedName name="SDFSFS" hidden="1">{#N/A,#N/A,TRUE,"Cover";#N/A,#N/A,TRUE,"Conts";#N/A,#N/A,TRUE,"VOS";#N/A,#N/A,TRUE,"Warrington";#N/A,#N/A,TRUE,"Widnes"}</definedName>
    <definedName name="Slicer_Block">#N/A</definedName>
    <definedName name="Slicer_Land_use">#N/A</definedName>
    <definedName name="Slicer_Market_Name">#N/A</definedName>
    <definedName name="Slicer_Market_Name1">#N/A</definedName>
    <definedName name="Slicer_No._of_Floors">#N/A</definedName>
    <definedName name="Slicer_Total_BUA">#N/A</definedName>
    <definedName name="Slicer_Type">#N/A</definedName>
    <definedName name="Slicer_Type1">#N/A</definedName>
    <definedName name="Status">#REF!</definedName>
    <definedName name="TABLE">#REF!</definedName>
    <definedName name="thismonthpay">'[5]Contracts Lists'!$T:$T</definedName>
    <definedName name="TO" hidden="1">#REF!</definedName>
    <definedName name="trhrrj" hidden="1">#REF!</definedName>
    <definedName name="u" hidden="1">'[2] N Finansal Eğri'!#REF!</definedName>
    <definedName name="v" hidden="1">{#N/A,#N/A,TRUE,"Cover";#N/A,#N/A,TRUE,"Conts";#N/A,#N/A,TRUE,"VOS";#N/A,#N/A,TRUE,"Warrington";#N/A,#N/A,TRUE,"Widnes"}</definedName>
    <definedName name="VENT" hidden="1">{#N/A,#N/A,TRUE,"Cover";#N/A,#N/A,TRUE,"Conts";#N/A,#N/A,TRUE,"VOS";#N/A,#N/A,TRUE,"Warrington";#N/A,#N/A,TRUE,"Widnes"}</definedName>
    <definedName name="vo">'[5]Contracts Lists'!$J:$J</definedName>
    <definedName name="vur" hidden="1">#REF!</definedName>
    <definedName name="vural" hidden="1">#REF!</definedName>
    <definedName name="wrn.Warrington._.Widnes._.QS._.Costs." hidden="1">{#N/A,#N/A,TRUE,"Cover";#N/A,#N/A,TRUE,"Conts";#N/A,#N/A,TRUE,"VOS";#N/A,#N/A,TRUE,"Warrington";#N/A,#N/A,TRUE,"Widnes"}</definedName>
    <definedName name="yas" hidden="1">#REF!</definedName>
    <definedName name="yasin" hidden="1">#REF!</definedName>
    <definedName name="yy" hidden="1">#REF!</definedName>
    <definedName name="ZDGZDGZDG" hidden="1">{#N/A,#N/A,TRUE,"Cover";#N/A,#N/A,TRUE,"Conts";#N/A,#N/A,TRUE,"VOS";#N/A,#N/A,TRUE,"Warrington";#N/A,#N/A,TRUE,"Widnes"}</definedName>
    <definedName name="ZDGZDGZDGZD" hidden="1">{#N/A,#N/A,TRUE,"Cover";#N/A,#N/A,TRUE,"Conts";#N/A,#N/A,TRUE,"VOS";#N/A,#N/A,TRUE,"Warrington";#N/A,#N/A,TRUE,"Widnes"}</definedName>
    <definedName name="zone1">#REF!</definedName>
    <definedName name="zone2">#REF!</definedName>
    <definedName name="zone3">#REF!</definedName>
    <definedName name="zone4">#REF!</definedName>
    <definedName name="الباب_الثامن__الأبواب_والشبابيك">[9]BOQ!#REF!</definedName>
    <definedName name="الباب_الثانى">[9]BOQ!#REF!</definedName>
    <definedName name="الباب_الحادى_عشر">[9]BOQ!#REF!</definedName>
    <definedName name="الباب_العاشر">[9]BOQ!#REF!</definedName>
    <definedName name="الباحة">#REF!</definedName>
    <definedName name="الجوف">#REF!</definedName>
    <definedName name="الحدود_الشمالية">#REF!</definedName>
    <definedName name="الرياض">#REF!</definedName>
    <definedName name="القصيم">#REF!</definedName>
    <definedName name="المدينة_المنورة">#REF!</definedName>
    <definedName name="المنطقة_الشرقية">#REF!</definedName>
    <definedName name="ب135">#REF!</definedName>
    <definedName name="بقثبقليلالبى" hidden="1">'[4]LTR-2'!#REF!</definedName>
    <definedName name="بي" hidden="1">#REF!</definedName>
    <definedName name="تبوك">#REF!</definedName>
    <definedName name="جازان">#REF!</definedName>
    <definedName name="حائل">#REF!</definedName>
    <definedName name="صفحة_14">[9]BOQ!#REF!</definedName>
    <definedName name="صفحة_15">[9]BOQ!#REF!</definedName>
    <definedName name="صفحة_16">[9]BOQ!#REF!</definedName>
    <definedName name="صفحة_17">[9]BOQ!#REF!</definedName>
    <definedName name="صفحة_20">[9]BOQ!#REF!</definedName>
    <definedName name="صفحة_21">[9]BOQ!#REF!</definedName>
    <definedName name="صفحة_22">[9]BOQ!#REF!</definedName>
    <definedName name="صفحة_23">[9]BOQ!#REF!</definedName>
    <definedName name="عسير">#REF!</definedName>
    <definedName name="مكة_المكرمة">#REF!</definedName>
    <definedName name="نجران">#REF!</definedName>
    <definedName name="ؤرء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1" i="1" s="1"/>
  <c r="L28" i="1"/>
  <c r="L27" i="1"/>
  <c r="N28" i="1" l="1"/>
  <c r="N27" i="1"/>
  <c r="N19" i="1"/>
  <c r="D47" i="4"/>
  <c r="I89" i="4"/>
  <c r="H89" i="4"/>
  <c r="G89" i="4"/>
  <c r="F89" i="4"/>
  <c r="I88" i="4"/>
  <c r="J88" i="4" s="1"/>
  <c r="H88" i="4"/>
  <c r="G88" i="4"/>
  <c r="F88" i="4"/>
  <c r="I79" i="4"/>
  <c r="H79" i="4"/>
  <c r="G79" i="4"/>
  <c r="F79" i="4"/>
  <c r="I78" i="4"/>
  <c r="H78" i="4"/>
  <c r="G78" i="4"/>
  <c r="F78" i="4"/>
  <c r="I77" i="4"/>
  <c r="H77" i="4"/>
  <c r="G77" i="4"/>
  <c r="F77" i="4"/>
  <c r="C119" i="4"/>
  <c r="C118" i="4"/>
  <c r="AD137" i="4"/>
  <c r="AC137" i="4"/>
  <c r="AB137" i="4"/>
  <c r="AA137" i="4"/>
  <c r="Z137" i="4"/>
  <c r="Y137" i="4"/>
  <c r="X137" i="4"/>
  <c r="J89" i="4" l="1"/>
  <c r="K88" i="4"/>
  <c r="C169" i="4"/>
  <c r="C168" i="4"/>
  <c r="B171" i="4"/>
  <c r="C146" i="4"/>
  <c r="D134" i="4"/>
  <c r="K89" i="4" l="1"/>
  <c r="L88" i="4"/>
  <c r="D138" i="4"/>
  <c r="D38" i="4" s="1"/>
  <c r="C173" i="4"/>
  <c r="C172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C137" i="4"/>
  <c r="C139" i="4" s="1"/>
  <c r="D136" i="4" s="1"/>
  <c r="C117" i="4"/>
  <c r="B119" i="4"/>
  <c r="B118" i="4"/>
  <c r="B117" i="4"/>
  <c r="C81" i="4"/>
  <c r="D81" i="4" s="1"/>
  <c r="E81" i="4" s="1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B106" i="4"/>
  <c r="B105" i="4"/>
  <c r="B104" i="4"/>
  <c r="C97" i="4"/>
  <c r="C96" i="4"/>
  <c r="C93" i="4"/>
  <c r="C92" i="4"/>
  <c r="J79" i="4"/>
  <c r="K79" i="4" s="1"/>
  <c r="L79" i="4" s="1"/>
  <c r="M79" i="4" s="1"/>
  <c r="N79" i="4" s="1"/>
  <c r="O79" i="4" s="1"/>
  <c r="P79" i="4" s="1"/>
  <c r="Q79" i="4" s="1"/>
  <c r="R79" i="4" s="1"/>
  <c r="S79" i="4" s="1"/>
  <c r="T79" i="4" s="1"/>
  <c r="U79" i="4" s="1"/>
  <c r="V79" i="4" s="1"/>
  <c r="W79" i="4" s="1"/>
  <c r="X79" i="4" s="1"/>
  <c r="Y79" i="4" s="1"/>
  <c r="Z79" i="4" s="1"/>
  <c r="AA79" i="4" s="1"/>
  <c r="AB79" i="4" s="1"/>
  <c r="AC79" i="4" s="1"/>
  <c r="AD79" i="4" s="1"/>
  <c r="J78" i="4"/>
  <c r="K78" i="4" s="1"/>
  <c r="L78" i="4" s="1"/>
  <c r="M78" i="4" s="1"/>
  <c r="N78" i="4" s="1"/>
  <c r="O78" i="4" s="1"/>
  <c r="P78" i="4" s="1"/>
  <c r="Q78" i="4" s="1"/>
  <c r="R78" i="4" s="1"/>
  <c r="S78" i="4" s="1"/>
  <c r="T78" i="4" s="1"/>
  <c r="U78" i="4" s="1"/>
  <c r="V78" i="4" s="1"/>
  <c r="W78" i="4" s="1"/>
  <c r="X78" i="4" s="1"/>
  <c r="Y78" i="4" s="1"/>
  <c r="Z78" i="4" s="1"/>
  <c r="AA78" i="4" s="1"/>
  <c r="AB78" i="4" s="1"/>
  <c r="AC78" i="4" s="1"/>
  <c r="AD78" i="4" s="1"/>
  <c r="J77" i="4"/>
  <c r="K77" i="4" s="1"/>
  <c r="L77" i="4" s="1"/>
  <c r="M77" i="4" s="1"/>
  <c r="N77" i="4" s="1"/>
  <c r="O77" i="4" s="1"/>
  <c r="P77" i="4" s="1"/>
  <c r="Q77" i="4" s="1"/>
  <c r="R77" i="4" s="1"/>
  <c r="S77" i="4" s="1"/>
  <c r="T77" i="4" s="1"/>
  <c r="U77" i="4" s="1"/>
  <c r="V77" i="4" s="1"/>
  <c r="W77" i="4" s="1"/>
  <c r="X77" i="4" s="1"/>
  <c r="Y77" i="4" s="1"/>
  <c r="Z77" i="4" s="1"/>
  <c r="AA77" i="4" s="1"/>
  <c r="AB77" i="4" s="1"/>
  <c r="AC77" i="4" s="1"/>
  <c r="AD77" i="4" s="1"/>
  <c r="C69" i="4"/>
  <c r="C68" i="4"/>
  <c r="C67" i="4"/>
  <c r="F55" i="4"/>
  <c r="G55" i="4" s="1"/>
  <c r="H55" i="4" s="1"/>
  <c r="I55" i="4" s="1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J37" i="1"/>
  <c r="J47" i="1" s="1"/>
  <c r="J36" i="1"/>
  <c r="J46" i="1" s="1"/>
  <c r="J35" i="1"/>
  <c r="J45" i="1" s="1"/>
  <c r="D57" i="4"/>
  <c r="E57" i="4" s="1"/>
  <c r="F57" i="4" s="1"/>
  <c r="G57" i="4" s="1"/>
  <c r="H57" i="4" s="1"/>
  <c r="I57" i="4" s="1"/>
  <c r="J57" i="4" s="1"/>
  <c r="K57" i="4" s="1"/>
  <c r="L57" i="4" s="1"/>
  <c r="M57" i="4" s="1"/>
  <c r="N57" i="4" s="1"/>
  <c r="O57" i="4" s="1"/>
  <c r="P57" i="4" s="1"/>
  <c r="Q57" i="4" s="1"/>
  <c r="R57" i="4" s="1"/>
  <c r="S57" i="4" s="1"/>
  <c r="T57" i="4" s="1"/>
  <c r="U57" i="4" s="1"/>
  <c r="V57" i="4" s="1"/>
  <c r="W57" i="4" s="1"/>
  <c r="C72" i="4"/>
  <c r="F72" i="4" s="1"/>
  <c r="B74" i="4"/>
  <c r="B79" i="4" s="1"/>
  <c r="B73" i="4"/>
  <c r="B78" i="4" s="1"/>
  <c r="B72" i="4"/>
  <c r="B77" i="4" s="1"/>
  <c r="C64" i="4"/>
  <c r="D64" i="4" s="1"/>
  <c r="E64" i="4" s="1"/>
  <c r="F64" i="4" s="1"/>
  <c r="G64" i="4" s="1"/>
  <c r="H64" i="4" s="1"/>
  <c r="I64" i="4" s="1"/>
  <c r="J64" i="4" s="1"/>
  <c r="K64" i="4" s="1"/>
  <c r="L64" i="4" s="1"/>
  <c r="M64" i="4" s="1"/>
  <c r="N64" i="4" s="1"/>
  <c r="O64" i="4" s="1"/>
  <c r="P64" i="4" s="1"/>
  <c r="Q64" i="4" s="1"/>
  <c r="R64" i="4" s="1"/>
  <c r="S64" i="4" s="1"/>
  <c r="T64" i="4" s="1"/>
  <c r="U64" i="4" s="1"/>
  <c r="V64" i="4" s="1"/>
  <c r="W64" i="4" s="1"/>
  <c r="X64" i="4" s="1"/>
  <c r="Y64" i="4" s="1"/>
  <c r="C63" i="4"/>
  <c r="D63" i="4" s="1"/>
  <c r="E63" i="4" s="1"/>
  <c r="F63" i="4" s="1"/>
  <c r="G63" i="4" s="1"/>
  <c r="H63" i="4" s="1"/>
  <c r="I63" i="4" s="1"/>
  <c r="J63" i="4" s="1"/>
  <c r="K63" i="4" s="1"/>
  <c r="L63" i="4" s="1"/>
  <c r="M63" i="4" s="1"/>
  <c r="N63" i="4" s="1"/>
  <c r="O63" i="4" s="1"/>
  <c r="P63" i="4" s="1"/>
  <c r="Q63" i="4" s="1"/>
  <c r="R63" i="4" s="1"/>
  <c r="S63" i="4" s="1"/>
  <c r="T63" i="4" s="1"/>
  <c r="U63" i="4" s="1"/>
  <c r="V63" i="4" s="1"/>
  <c r="W63" i="4" s="1"/>
  <c r="X63" i="4" s="1"/>
  <c r="C62" i="4"/>
  <c r="D62" i="4" s="1"/>
  <c r="E62" i="4" s="1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B64" i="4"/>
  <c r="B69" i="4" s="1"/>
  <c r="B63" i="4"/>
  <c r="B68" i="4" s="1"/>
  <c r="B62" i="4"/>
  <c r="B67" i="4" s="1"/>
  <c r="D56" i="4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T56" i="4" s="1"/>
  <c r="U56" i="4" s="1"/>
  <c r="V56" i="4" s="1"/>
  <c r="W56" i="4" s="1"/>
  <c r="D54" i="4"/>
  <c r="D137" i="4"/>
  <c r="L89" i="4" l="1"/>
  <c r="M88" i="4"/>
  <c r="X57" i="4"/>
  <c r="Y57" i="4" s="1"/>
  <c r="Z57" i="4" s="1"/>
  <c r="AA57" i="4" s="1"/>
  <c r="AB57" i="4" s="1"/>
  <c r="AC57" i="4" s="1"/>
  <c r="AD57" i="4" s="1"/>
  <c r="AE57" i="4" s="1"/>
  <c r="X56" i="4"/>
  <c r="Y56" i="4" s="1"/>
  <c r="Z56" i="4" s="1"/>
  <c r="AA56" i="4" s="1"/>
  <c r="AB56" i="4" s="1"/>
  <c r="AC56" i="4" s="1"/>
  <c r="AD56" i="4" s="1"/>
  <c r="AE56" i="4" s="1"/>
  <c r="X55" i="4"/>
  <c r="Y62" i="4"/>
  <c r="Y63" i="4"/>
  <c r="Y81" i="4"/>
  <c r="Z81" i="4" s="1"/>
  <c r="AA81" i="4" s="1"/>
  <c r="AB81" i="4" s="1"/>
  <c r="AC81" i="4" s="1"/>
  <c r="AD81" i="4" s="1"/>
  <c r="Z64" i="4"/>
  <c r="AA64" i="4" s="1"/>
  <c r="AB64" i="4" s="1"/>
  <c r="AC64" i="4" s="1"/>
  <c r="AD64" i="4" s="1"/>
  <c r="E54" i="4"/>
  <c r="D167" i="4"/>
  <c r="D146" i="4"/>
  <c r="D141" i="4"/>
  <c r="D127" i="4" s="1"/>
  <c r="D139" i="4"/>
  <c r="E136" i="4" s="1"/>
  <c r="F104" i="4"/>
  <c r="D72" i="4"/>
  <c r="D104" i="4" s="1"/>
  <c r="G92" i="4"/>
  <c r="G96" i="4" s="1"/>
  <c r="G93" i="4"/>
  <c r="G97" i="4" s="1"/>
  <c r="F97" i="4"/>
  <c r="D97" i="4"/>
  <c r="E97" i="4"/>
  <c r="F96" i="4"/>
  <c r="D96" i="4"/>
  <c r="E96" i="4"/>
  <c r="G69" i="4"/>
  <c r="H69" i="4" s="1"/>
  <c r="I69" i="4" s="1"/>
  <c r="J69" i="4" s="1"/>
  <c r="E72" i="4"/>
  <c r="E104" i="4" s="1"/>
  <c r="G68" i="4"/>
  <c r="G67" i="4"/>
  <c r="G72" i="4" s="1"/>
  <c r="G104" i="4" s="1"/>
  <c r="M89" i="4" l="1"/>
  <c r="N88" i="4"/>
  <c r="Y55" i="4"/>
  <c r="Z63" i="4"/>
  <c r="Z62" i="4"/>
  <c r="AA62" i="4" s="1"/>
  <c r="AB62" i="4" s="1"/>
  <c r="AC62" i="4" s="1"/>
  <c r="AD62" i="4" s="1"/>
  <c r="D173" i="4"/>
  <c r="D172" i="4"/>
  <c r="D37" i="4"/>
  <c r="F54" i="4"/>
  <c r="E167" i="4"/>
  <c r="E146" i="4"/>
  <c r="H92" i="4"/>
  <c r="I92" i="4" s="1"/>
  <c r="J92" i="4" s="1"/>
  <c r="K92" i="4" s="1"/>
  <c r="L92" i="4" s="1"/>
  <c r="M92" i="4" s="1"/>
  <c r="N92" i="4" s="1"/>
  <c r="O92" i="4" s="1"/>
  <c r="P92" i="4" s="1"/>
  <c r="Q92" i="4" s="1"/>
  <c r="R92" i="4" s="1"/>
  <c r="S92" i="4" s="1"/>
  <c r="T92" i="4" s="1"/>
  <c r="U92" i="4" s="1"/>
  <c r="V92" i="4" s="1"/>
  <c r="W92" i="4" s="1"/>
  <c r="H93" i="4"/>
  <c r="I93" i="4" s="1"/>
  <c r="J93" i="4" s="1"/>
  <c r="K93" i="4" s="1"/>
  <c r="L93" i="4" s="1"/>
  <c r="M93" i="4" s="1"/>
  <c r="N93" i="4" s="1"/>
  <c r="O93" i="4" s="1"/>
  <c r="P93" i="4" s="1"/>
  <c r="Q93" i="4" s="1"/>
  <c r="R93" i="4" s="1"/>
  <c r="S93" i="4" s="1"/>
  <c r="T93" i="4" s="1"/>
  <c r="U93" i="4" s="1"/>
  <c r="V93" i="4" s="1"/>
  <c r="H67" i="4"/>
  <c r="H72" i="4" s="1"/>
  <c r="H104" i="4" s="1"/>
  <c r="K69" i="4"/>
  <c r="H68" i="4"/>
  <c r="N89" i="4" l="1"/>
  <c r="O88" i="4"/>
  <c r="AA63" i="4"/>
  <c r="AB63" i="4" s="1"/>
  <c r="AC63" i="4" s="1"/>
  <c r="AD63" i="4" s="1"/>
  <c r="W96" i="4"/>
  <c r="X92" i="4"/>
  <c r="Z55" i="4"/>
  <c r="E173" i="4"/>
  <c r="E172" i="4"/>
  <c r="G54" i="4"/>
  <c r="F167" i="4"/>
  <c r="F146" i="4"/>
  <c r="J96" i="4"/>
  <c r="L96" i="4"/>
  <c r="P96" i="4"/>
  <c r="M96" i="4"/>
  <c r="H96" i="4"/>
  <c r="N96" i="4"/>
  <c r="R96" i="4"/>
  <c r="S96" i="4"/>
  <c r="T96" i="4"/>
  <c r="U96" i="4"/>
  <c r="Q96" i="4"/>
  <c r="V96" i="4"/>
  <c r="K96" i="4"/>
  <c r="O96" i="4"/>
  <c r="I96" i="4"/>
  <c r="M97" i="4"/>
  <c r="S97" i="4"/>
  <c r="I97" i="4"/>
  <c r="N97" i="4"/>
  <c r="T97" i="4"/>
  <c r="O97" i="4"/>
  <c r="K97" i="4"/>
  <c r="P97" i="4"/>
  <c r="U97" i="4"/>
  <c r="J97" i="4"/>
  <c r="Q97" i="4"/>
  <c r="H97" i="4"/>
  <c r="L97" i="4"/>
  <c r="R97" i="4"/>
  <c r="W93" i="4"/>
  <c r="V97" i="4"/>
  <c r="I67" i="4"/>
  <c r="J67" i="4" s="1"/>
  <c r="L69" i="4"/>
  <c r="I68" i="4"/>
  <c r="O89" i="4" l="1"/>
  <c r="P88" i="4"/>
  <c r="AA55" i="4"/>
  <c r="W97" i="4"/>
  <c r="X93" i="4"/>
  <c r="X96" i="4"/>
  <c r="Y92" i="4"/>
  <c r="F173" i="4"/>
  <c r="F172" i="4"/>
  <c r="H54" i="4"/>
  <c r="G167" i="4"/>
  <c r="G146" i="4"/>
  <c r="I72" i="4"/>
  <c r="I104" i="4" s="1"/>
  <c r="M69" i="4"/>
  <c r="J68" i="4"/>
  <c r="K67" i="4"/>
  <c r="J72" i="4"/>
  <c r="J104" i="4" s="1"/>
  <c r="P89" i="4" l="1"/>
  <c r="Q88" i="4"/>
  <c r="AB55" i="4"/>
  <c r="AC55" i="4" s="1"/>
  <c r="AD55" i="4" s="1"/>
  <c r="AE55" i="4" s="1"/>
  <c r="Y96" i="4"/>
  <c r="Z92" i="4"/>
  <c r="X97" i="4"/>
  <c r="Y93" i="4"/>
  <c r="G173" i="4"/>
  <c r="G172" i="4"/>
  <c r="I54" i="4"/>
  <c r="H167" i="4"/>
  <c r="H146" i="4"/>
  <c r="N69" i="4"/>
  <c r="K68" i="4"/>
  <c r="L67" i="4"/>
  <c r="K72" i="4"/>
  <c r="K104" i="4" s="1"/>
  <c r="Q89" i="4" l="1"/>
  <c r="R88" i="4"/>
  <c r="Y97" i="4"/>
  <c r="Z93" i="4"/>
  <c r="Z96" i="4"/>
  <c r="AA92" i="4"/>
  <c r="J54" i="4"/>
  <c r="I167" i="4"/>
  <c r="I146" i="4"/>
  <c r="O69" i="4"/>
  <c r="L68" i="4"/>
  <c r="M67" i="4"/>
  <c r="L72" i="4"/>
  <c r="L104" i="4" s="1"/>
  <c r="R89" i="4" l="1"/>
  <c r="S88" i="4"/>
  <c r="AA96" i="4"/>
  <c r="AB92" i="4"/>
  <c r="Z97" i="4"/>
  <c r="AA93" i="4"/>
  <c r="I173" i="4"/>
  <c r="I172" i="4"/>
  <c r="K54" i="4"/>
  <c r="J167" i="4"/>
  <c r="J146" i="4"/>
  <c r="P69" i="4"/>
  <c r="M68" i="4"/>
  <c r="N67" i="4"/>
  <c r="M72" i="4"/>
  <c r="M104" i="4" s="1"/>
  <c r="S89" i="4" l="1"/>
  <c r="T88" i="4"/>
  <c r="AB96" i="4"/>
  <c r="AC92" i="4"/>
  <c r="AA97" i="4"/>
  <c r="AB93" i="4"/>
  <c r="L54" i="4"/>
  <c r="K167" i="4"/>
  <c r="K146" i="4"/>
  <c r="Q69" i="4"/>
  <c r="N68" i="4"/>
  <c r="O67" i="4"/>
  <c r="N72" i="4"/>
  <c r="N104" i="4" s="1"/>
  <c r="T89" i="4" l="1"/>
  <c r="U88" i="4"/>
  <c r="AB97" i="4"/>
  <c r="AC93" i="4"/>
  <c r="AC96" i="4"/>
  <c r="AD92" i="4"/>
  <c r="AD96" i="4" s="1"/>
  <c r="K173" i="4"/>
  <c r="K172" i="4"/>
  <c r="M54" i="4"/>
  <c r="L167" i="4"/>
  <c r="L146" i="4"/>
  <c r="R69" i="4"/>
  <c r="O68" i="4"/>
  <c r="P67" i="4"/>
  <c r="O72" i="4"/>
  <c r="O104" i="4" s="1"/>
  <c r="U89" i="4" l="1"/>
  <c r="V88" i="4"/>
  <c r="AC97" i="4"/>
  <c r="AD93" i="4"/>
  <c r="AD97" i="4" s="1"/>
  <c r="L173" i="4"/>
  <c r="L172" i="4"/>
  <c r="N54" i="4"/>
  <c r="M167" i="4"/>
  <c r="M146" i="4"/>
  <c r="S69" i="4"/>
  <c r="P68" i="4"/>
  <c r="Q67" i="4"/>
  <c r="P72" i="4"/>
  <c r="P104" i="4" s="1"/>
  <c r="V89" i="4" l="1"/>
  <c r="W88" i="4"/>
  <c r="M172" i="4"/>
  <c r="M173" i="4"/>
  <c r="O54" i="4"/>
  <c r="N167" i="4"/>
  <c r="N146" i="4"/>
  <c r="T69" i="4"/>
  <c r="Q68" i="4"/>
  <c r="R67" i="4"/>
  <c r="Q72" i="4"/>
  <c r="Q104" i="4" s="1"/>
  <c r="W89" i="4" l="1"/>
  <c r="X88" i="4"/>
  <c r="N172" i="4"/>
  <c r="N173" i="4"/>
  <c r="P54" i="4"/>
  <c r="O167" i="4"/>
  <c r="O146" i="4"/>
  <c r="U69" i="4"/>
  <c r="R68" i="4"/>
  <c r="S67" i="4"/>
  <c r="R72" i="4"/>
  <c r="R104" i="4" s="1"/>
  <c r="X89" i="4" l="1"/>
  <c r="Y88" i="4"/>
  <c r="O172" i="4"/>
  <c r="O173" i="4"/>
  <c r="Q54" i="4"/>
  <c r="P167" i="4"/>
  <c r="P146" i="4"/>
  <c r="V69" i="4"/>
  <c r="S68" i="4"/>
  <c r="T67" i="4"/>
  <c r="S72" i="4"/>
  <c r="S104" i="4" s="1"/>
  <c r="Y89" i="4" l="1"/>
  <c r="Z88" i="4"/>
  <c r="P172" i="4"/>
  <c r="P173" i="4"/>
  <c r="R54" i="4"/>
  <c r="Q167" i="4"/>
  <c r="Q146" i="4"/>
  <c r="W69" i="4"/>
  <c r="X69" i="4" s="1"/>
  <c r="T68" i="4"/>
  <c r="U67" i="4"/>
  <c r="T72" i="4"/>
  <c r="T104" i="4" s="1"/>
  <c r="Z89" i="4" l="1"/>
  <c r="AA88" i="4"/>
  <c r="Y69" i="4"/>
  <c r="Q172" i="4"/>
  <c r="Q173" i="4"/>
  <c r="S54" i="4"/>
  <c r="R167" i="4"/>
  <c r="R146" i="4"/>
  <c r="U68" i="4"/>
  <c r="V67" i="4"/>
  <c r="U72" i="4"/>
  <c r="U104" i="4" s="1"/>
  <c r="AA89" i="4" l="1"/>
  <c r="AB88" i="4"/>
  <c r="Z69" i="4"/>
  <c r="R172" i="4"/>
  <c r="R173" i="4"/>
  <c r="T54" i="4"/>
  <c r="S167" i="4"/>
  <c r="S146" i="4"/>
  <c r="V68" i="4"/>
  <c r="W67" i="4"/>
  <c r="V72" i="4"/>
  <c r="V104" i="4" s="1"/>
  <c r="AB89" i="4" l="1"/>
  <c r="AC88" i="4"/>
  <c r="W72" i="4"/>
  <c r="W104" i="4" s="1"/>
  <c r="X67" i="4"/>
  <c r="AA69" i="4"/>
  <c r="AB69" i="4" s="1"/>
  <c r="AC69" i="4" s="1"/>
  <c r="S172" i="4"/>
  <c r="S173" i="4"/>
  <c r="U54" i="4"/>
  <c r="T167" i="4"/>
  <c r="T146" i="4"/>
  <c r="W68" i="4"/>
  <c r="X68" i="4" s="1"/>
  <c r="AC89" i="4" l="1"/>
  <c r="AD88" i="4"/>
  <c r="AD69" i="4"/>
  <c r="Y68" i="4"/>
  <c r="X72" i="4"/>
  <c r="X104" i="4" s="1"/>
  <c r="Y67" i="4"/>
  <c r="T173" i="4"/>
  <c r="T172" i="4"/>
  <c r="V54" i="4"/>
  <c r="U167" i="4"/>
  <c r="U146" i="4"/>
  <c r="AD89" i="4" l="1"/>
  <c r="Y72" i="4"/>
  <c r="Y104" i="4" s="1"/>
  <c r="Z67" i="4"/>
  <c r="Z68" i="4"/>
  <c r="U173" i="4"/>
  <c r="U172" i="4"/>
  <c r="W54" i="4"/>
  <c r="X54" i="4" s="1"/>
  <c r="V167" i="4"/>
  <c r="V146" i="4"/>
  <c r="Y54" i="4" l="1"/>
  <c r="X167" i="4"/>
  <c r="X146" i="4"/>
  <c r="AA68" i="4"/>
  <c r="AB68" i="4" s="1"/>
  <c r="AC68" i="4" s="1"/>
  <c r="Z72" i="4"/>
  <c r="Z104" i="4" s="1"/>
  <c r="AA67" i="4"/>
  <c r="V172" i="4"/>
  <c r="V173" i="4"/>
  <c r="W167" i="4"/>
  <c r="W146" i="4"/>
  <c r="AD68" i="4" l="1"/>
  <c r="AA72" i="4"/>
  <c r="AA104" i="4" s="1"/>
  <c r="AB67" i="4"/>
  <c r="X171" i="4"/>
  <c r="X173" i="4"/>
  <c r="X172" i="4"/>
  <c r="Y167" i="4"/>
  <c r="Z54" i="4"/>
  <c r="Y146" i="4"/>
  <c r="W173" i="4"/>
  <c r="AB72" i="4" l="1"/>
  <c r="AB104" i="4" s="1"/>
  <c r="AC67" i="4"/>
  <c r="Z146" i="4"/>
  <c r="AA54" i="4"/>
  <c r="AB54" i="4" s="1"/>
  <c r="AC54" i="4" s="1"/>
  <c r="Z167" i="4"/>
  <c r="Y173" i="4"/>
  <c r="Y172" i="4"/>
  <c r="Y171" i="4"/>
  <c r="X174" i="4"/>
  <c r="AD54" i="4" l="1"/>
  <c r="AC167" i="4"/>
  <c r="AC146" i="4"/>
  <c r="AC72" i="4"/>
  <c r="AC104" i="4" s="1"/>
  <c r="AD67" i="4"/>
  <c r="AD72" i="4" s="1"/>
  <c r="AD104" i="4" s="1"/>
  <c r="Y174" i="4"/>
  <c r="AB167" i="4"/>
  <c r="AB146" i="4"/>
  <c r="Z171" i="4"/>
  <c r="Z173" i="4"/>
  <c r="Z172" i="4"/>
  <c r="AA167" i="4"/>
  <c r="AA146" i="4"/>
  <c r="B29" i="4"/>
  <c r="B28" i="4"/>
  <c r="B27" i="4"/>
  <c r="B26" i="4"/>
  <c r="D17" i="4"/>
  <c r="B25" i="4"/>
  <c r="B24" i="4"/>
  <c r="B23" i="4"/>
  <c r="B22" i="4"/>
  <c r="B21" i="4"/>
  <c r="B20" i="4"/>
  <c r="B17" i="4"/>
  <c r="B16" i="4"/>
  <c r="B15" i="4"/>
  <c r="B14" i="4"/>
  <c r="B13" i="4"/>
  <c r="B12" i="4"/>
  <c r="B11" i="4"/>
  <c r="B10" i="4"/>
  <c r="D8" i="4"/>
  <c r="E8" i="4" s="1"/>
  <c r="J28" i="1"/>
  <c r="J27" i="1"/>
  <c r="AC173" i="4" l="1"/>
  <c r="AC172" i="4"/>
  <c r="AC171" i="4"/>
  <c r="AE54" i="4"/>
  <c r="AD167" i="4"/>
  <c r="AD146" i="4"/>
  <c r="AB173" i="4"/>
  <c r="AB172" i="4"/>
  <c r="AB171" i="4"/>
  <c r="AA172" i="4"/>
  <c r="AA173" i="4"/>
  <c r="AA171" i="4"/>
  <c r="Z174" i="4"/>
  <c r="C85" i="4"/>
  <c r="D85" i="4" s="1"/>
  <c r="D112" i="4" s="1"/>
  <c r="B92" i="4"/>
  <c r="B96" i="4"/>
  <c r="J40" i="1"/>
  <c r="B84" i="4"/>
  <c r="B88" i="4" s="1"/>
  <c r="B97" i="4"/>
  <c r="J41" i="1"/>
  <c r="B85" i="4"/>
  <c r="B89" i="4" s="1"/>
  <c r="B93" i="4"/>
  <c r="N29" i="1"/>
  <c r="C84" i="4"/>
  <c r="D84" i="4" s="1"/>
  <c r="D111" i="4" s="1"/>
  <c r="B112" i="4" l="1"/>
  <c r="J51" i="1"/>
  <c r="B111" i="4"/>
  <c r="J50" i="1"/>
  <c r="AC174" i="4"/>
  <c r="AD173" i="4"/>
  <c r="AD172" i="4"/>
  <c r="AD171" i="4"/>
  <c r="AE167" i="4"/>
  <c r="AE146" i="4"/>
  <c r="AE35" i="4" s="1"/>
  <c r="AA174" i="4"/>
  <c r="AB174" i="4"/>
  <c r="E84" i="4"/>
  <c r="E111" i="4" s="1"/>
  <c r="E85" i="4"/>
  <c r="E112" i="4" s="1"/>
  <c r="AD174" i="4" l="1"/>
  <c r="AE39" i="4"/>
  <c r="AE45" i="4" s="1"/>
  <c r="AE151" i="4"/>
  <c r="AE173" i="4"/>
  <c r="AE172" i="4"/>
  <c r="AE171" i="4"/>
  <c r="F85" i="4"/>
  <c r="F112" i="4" s="1"/>
  <c r="D110" i="4"/>
  <c r="F84" i="4"/>
  <c r="F111" i="4" s="1"/>
  <c r="AE174" i="4" l="1"/>
  <c r="E110" i="4"/>
  <c r="G84" i="4"/>
  <c r="G111" i="4" s="1"/>
  <c r="G85" i="4"/>
  <c r="G112" i="4" s="1"/>
  <c r="H85" i="4" l="1"/>
  <c r="H112" i="4" s="1"/>
  <c r="F110" i="4"/>
  <c r="H84" i="4"/>
  <c r="H111" i="4" s="1"/>
  <c r="G110" i="4"/>
  <c r="G7" i="3"/>
  <c r="G8" i="3" s="1"/>
  <c r="G10" i="3" s="1"/>
  <c r="G13" i="3"/>
  <c r="G14" i="3"/>
  <c r="E15" i="3"/>
  <c r="E9" i="3" s="1"/>
  <c r="E16" i="3"/>
  <c r="G16" i="3" s="1"/>
  <c r="E17" i="3"/>
  <c r="G17" i="3"/>
  <c r="E18" i="3"/>
  <c r="G18" i="3" s="1"/>
  <c r="F22" i="3"/>
  <c r="F30" i="3"/>
  <c r="F36" i="3" s="1"/>
  <c r="F45" i="3"/>
  <c r="G45" i="3" s="1"/>
  <c r="E46" i="3"/>
  <c r="E47" i="3"/>
  <c r="F47" i="3"/>
  <c r="E49" i="3"/>
  <c r="F49" i="3"/>
  <c r="G49" i="3"/>
  <c r="E50" i="3"/>
  <c r="C51" i="3"/>
  <c r="D54" i="3"/>
  <c r="G54" i="3" s="1"/>
  <c r="D55" i="3"/>
  <c r="G55" i="3"/>
  <c r="N21" i="1"/>
  <c r="M20" i="1"/>
  <c r="N20" i="1" s="1"/>
  <c r="L22" i="1"/>
  <c r="I84" i="4" l="1"/>
  <c r="I111" i="4" s="1"/>
  <c r="I85" i="4"/>
  <c r="I112" i="4" s="1"/>
  <c r="C73" i="4"/>
  <c r="C74" i="4"/>
  <c r="E20" i="3"/>
  <c r="G47" i="3"/>
  <c r="G15" i="3"/>
  <c r="G51" i="3"/>
  <c r="G20" i="3"/>
  <c r="F13" i="3"/>
  <c r="E48" i="3"/>
  <c r="F8" i="1"/>
  <c r="D6" i="4" s="1"/>
  <c r="E41" i="1"/>
  <c r="E30" i="1"/>
  <c r="N22" i="1" l="1"/>
  <c r="AB73" i="4"/>
  <c r="AB105" i="4" s="1"/>
  <c r="AC73" i="4"/>
  <c r="AC105" i="4" s="1"/>
  <c r="AD73" i="4"/>
  <c r="AD105" i="4" s="1"/>
  <c r="AB74" i="4"/>
  <c r="AB106" i="4" s="1"/>
  <c r="AC74" i="4"/>
  <c r="AC106" i="4" s="1"/>
  <c r="AD74" i="4"/>
  <c r="AD106" i="4" s="1"/>
  <c r="X74" i="4"/>
  <c r="X106" i="4" s="1"/>
  <c r="Y74" i="4"/>
  <c r="Y106" i="4" s="1"/>
  <c r="Z74" i="4"/>
  <c r="Z106" i="4" s="1"/>
  <c r="AA74" i="4"/>
  <c r="AA106" i="4" s="1"/>
  <c r="X73" i="4"/>
  <c r="X105" i="4" s="1"/>
  <c r="Y73" i="4"/>
  <c r="Y105" i="4" s="1"/>
  <c r="Z73" i="4"/>
  <c r="Z105" i="4" s="1"/>
  <c r="AA73" i="4"/>
  <c r="AA105" i="4" s="1"/>
  <c r="J85" i="4"/>
  <c r="J112" i="4" s="1"/>
  <c r="H110" i="4"/>
  <c r="J84" i="4"/>
  <c r="J111" i="4" s="1"/>
  <c r="H74" i="4"/>
  <c r="H106" i="4" s="1"/>
  <c r="G74" i="4"/>
  <c r="G106" i="4" s="1"/>
  <c r="E74" i="4"/>
  <c r="E106" i="4" s="1"/>
  <c r="F74" i="4"/>
  <c r="F106" i="4" s="1"/>
  <c r="D74" i="4"/>
  <c r="D106" i="4" s="1"/>
  <c r="I74" i="4"/>
  <c r="I106" i="4" s="1"/>
  <c r="J74" i="4"/>
  <c r="J106" i="4" s="1"/>
  <c r="K74" i="4"/>
  <c r="K106" i="4" s="1"/>
  <c r="L74" i="4"/>
  <c r="L106" i="4" s="1"/>
  <c r="M74" i="4"/>
  <c r="M106" i="4" s="1"/>
  <c r="N74" i="4"/>
  <c r="N106" i="4" s="1"/>
  <c r="O74" i="4"/>
  <c r="O106" i="4" s="1"/>
  <c r="P74" i="4"/>
  <c r="P106" i="4" s="1"/>
  <c r="Q74" i="4"/>
  <c r="Q106" i="4" s="1"/>
  <c r="R74" i="4"/>
  <c r="R106" i="4" s="1"/>
  <c r="S74" i="4"/>
  <c r="S106" i="4" s="1"/>
  <c r="T74" i="4"/>
  <c r="T106" i="4" s="1"/>
  <c r="U74" i="4"/>
  <c r="U106" i="4" s="1"/>
  <c r="V74" i="4"/>
  <c r="V106" i="4" s="1"/>
  <c r="W74" i="4"/>
  <c r="W106" i="4" s="1"/>
  <c r="F73" i="4"/>
  <c r="F105" i="4" s="1"/>
  <c r="E73" i="4"/>
  <c r="E105" i="4" s="1"/>
  <c r="D73" i="4"/>
  <c r="D105" i="4" s="1"/>
  <c r="G73" i="4"/>
  <c r="G105" i="4" s="1"/>
  <c r="H73" i="4"/>
  <c r="H105" i="4" s="1"/>
  <c r="H103" i="4" s="1"/>
  <c r="I73" i="4"/>
  <c r="I105" i="4" s="1"/>
  <c r="J73" i="4"/>
  <c r="J105" i="4" s="1"/>
  <c r="K73" i="4"/>
  <c r="K105" i="4" s="1"/>
  <c r="L73" i="4"/>
  <c r="L105" i="4" s="1"/>
  <c r="M73" i="4"/>
  <c r="M105" i="4" s="1"/>
  <c r="N73" i="4"/>
  <c r="N105" i="4" s="1"/>
  <c r="O73" i="4"/>
  <c r="O105" i="4" s="1"/>
  <c r="P73" i="4"/>
  <c r="P105" i="4" s="1"/>
  <c r="Q73" i="4"/>
  <c r="Q105" i="4" s="1"/>
  <c r="R73" i="4"/>
  <c r="R105" i="4" s="1"/>
  <c r="S73" i="4"/>
  <c r="S105" i="4" s="1"/>
  <c r="T73" i="4"/>
  <c r="T105" i="4" s="1"/>
  <c r="U73" i="4"/>
  <c r="U105" i="4" s="1"/>
  <c r="V73" i="4"/>
  <c r="V105" i="4" s="1"/>
  <c r="W73" i="4"/>
  <c r="W105" i="4" s="1"/>
  <c r="G31" i="3"/>
  <c r="G35" i="3"/>
  <c r="G23" i="3"/>
  <c r="G24" i="3"/>
  <c r="G25" i="3"/>
  <c r="F14" i="3"/>
  <c r="G26" i="3"/>
  <c r="G40" i="3"/>
  <c r="G27" i="3"/>
  <c r="F19" i="3"/>
  <c r="G28" i="3"/>
  <c r="D20" i="3"/>
  <c r="G29" i="3"/>
  <c r="G30" i="3"/>
  <c r="G52" i="3"/>
  <c r="F15" i="3"/>
  <c r="F16" i="3"/>
  <c r="F17" i="3"/>
  <c r="F18" i="3"/>
  <c r="E48" i="1"/>
  <c r="F20" i="1"/>
  <c r="F19" i="1"/>
  <c r="E24" i="1"/>
  <c r="F24" i="1" s="1"/>
  <c r="E22" i="1"/>
  <c r="F22" i="1" s="1"/>
  <c r="E23" i="1"/>
  <c r="F23" i="1" s="1"/>
  <c r="E21" i="1"/>
  <c r="F10" i="1" s="1"/>
  <c r="N24" i="1" l="1"/>
  <c r="N31" i="1" s="1"/>
  <c r="AB103" i="4"/>
  <c r="AB108" i="4" s="1"/>
  <c r="AB119" i="4" s="1"/>
  <c r="AA103" i="4"/>
  <c r="AC103" i="4"/>
  <c r="AD103" i="4"/>
  <c r="Z103" i="4"/>
  <c r="Y103" i="4"/>
  <c r="X103" i="4"/>
  <c r="X108" i="4"/>
  <c r="X117" i="4" s="1"/>
  <c r="I110" i="4"/>
  <c r="G103" i="4"/>
  <c r="E103" i="4"/>
  <c r="R103" i="4"/>
  <c r="D103" i="4"/>
  <c r="K84" i="4"/>
  <c r="K111" i="4" s="1"/>
  <c r="Q103" i="4"/>
  <c r="F103" i="4"/>
  <c r="K85" i="4"/>
  <c r="K112" i="4" s="1"/>
  <c r="S103" i="4"/>
  <c r="H108" i="4"/>
  <c r="H114" i="4" s="1"/>
  <c r="P103" i="4"/>
  <c r="K103" i="4"/>
  <c r="O103" i="4"/>
  <c r="N103" i="4"/>
  <c r="M103" i="4"/>
  <c r="L103" i="4"/>
  <c r="W103" i="4"/>
  <c r="V103" i="4"/>
  <c r="J103" i="4"/>
  <c r="U103" i="4"/>
  <c r="I103" i="4"/>
  <c r="T103" i="4"/>
  <c r="E16" i="4"/>
  <c r="D16" i="4"/>
  <c r="D11" i="4"/>
  <c r="E11" i="4"/>
  <c r="E12" i="4"/>
  <c r="D12" i="4"/>
  <c r="E15" i="4"/>
  <c r="D15" i="4"/>
  <c r="E14" i="4"/>
  <c r="D14" i="4"/>
  <c r="F20" i="3"/>
  <c r="G53" i="3"/>
  <c r="G56" i="3" s="1"/>
  <c r="D57" i="3" s="1"/>
  <c r="G22" i="3"/>
  <c r="G36" i="3" s="1"/>
  <c r="F21" i="1"/>
  <c r="N59" i="1" l="1"/>
  <c r="N61" i="1"/>
  <c r="N60" i="1"/>
  <c r="AA108" i="4"/>
  <c r="AA117" i="4" s="1"/>
  <c r="Y108" i="4"/>
  <c r="Y117" i="4" s="1"/>
  <c r="G108" i="4"/>
  <c r="G114" i="4" s="1"/>
  <c r="G32" i="4" s="1"/>
  <c r="H118" i="4"/>
  <c r="AB117" i="4"/>
  <c r="AC108" i="4"/>
  <c r="AD108" i="4"/>
  <c r="AD117" i="4" s="1"/>
  <c r="H119" i="4"/>
  <c r="F108" i="4"/>
  <c r="F114" i="4" s="1"/>
  <c r="F32" i="4" s="1"/>
  <c r="Z108" i="4"/>
  <c r="Z117" i="4" s="1"/>
  <c r="Q108" i="4"/>
  <c r="Q117" i="4" s="1"/>
  <c r="X119" i="4"/>
  <c r="D108" i="4"/>
  <c r="R108" i="4"/>
  <c r="E108" i="4"/>
  <c r="S108" i="4"/>
  <c r="L85" i="4"/>
  <c r="L112" i="4" s="1"/>
  <c r="J110" i="4"/>
  <c r="L84" i="4"/>
  <c r="L111" i="4" s="1"/>
  <c r="H117" i="4"/>
  <c r="H32" i="4"/>
  <c r="H125" i="4"/>
  <c r="V108" i="4"/>
  <c r="V119" i="4" s="1"/>
  <c r="N108" i="4"/>
  <c r="K108" i="4"/>
  <c r="K117" i="4" s="1"/>
  <c r="P108" i="4"/>
  <c r="P119" i="4" s="1"/>
  <c r="I108" i="4"/>
  <c r="I114" i="4" s="1"/>
  <c r="W108" i="4"/>
  <c r="L108" i="4"/>
  <c r="L119" i="4" s="1"/>
  <c r="M108" i="4"/>
  <c r="T108" i="4"/>
  <c r="T119" i="4" s="1"/>
  <c r="O108" i="4"/>
  <c r="O119" i="4" s="1"/>
  <c r="U108" i="4"/>
  <c r="J108" i="4"/>
  <c r="E13" i="4"/>
  <c r="E27" i="4" s="1"/>
  <c r="D13" i="4"/>
  <c r="D26" i="4" s="1"/>
  <c r="F27" i="1"/>
  <c r="F42" i="1" s="1"/>
  <c r="G37" i="3"/>
  <c r="G39" i="3"/>
  <c r="N62" i="1" l="1"/>
  <c r="AD119" i="4"/>
  <c r="G118" i="4"/>
  <c r="AA119" i="4"/>
  <c r="E114" i="4"/>
  <c r="E32" i="4" s="1"/>
  <c r="E118" i="4"/>
  <c r="D114" i="4"/>
  <c r="D32" i="4" s="1"/>
  <c r="D118" i="4"/>
  <c r="J118" i="4"/>
  <c r="F118" i="4"/>
  <c r="G125" i="4"/>
  <c r="Y119" i="4"/>
  <c r="G119" i="4"/>
  <c r="I118" i="4"/>
  <c r="G117" i="4"/>
  <c r="Q119" i="4"/>
  <c r="D119" i="4"/>
  <c r="E119" i="4"/>
  <c r="AC117" i="4"/>
  <c r="AC119" i="4"/>
  <c r="F46" i="1"/>
  <c r="F41" i="1" s="1"/>
  <c r="F34" i="1"/>
  <c r="D24" i="4" s="1"/>
  <c r="F35" i="1"/>
  <c r="D25" i="4" s="1"/>
  <c r="F51" i="1"/>
  <c r="H121" i="4"/>
  <c r="H33" i="4" s="1"/>
  <c r="F119" i="4"/>
  <c r="U119" i="4"/>
  <c r="S117" i="4"/>
  <c r="S119" i="4"/>
  <c r="K119" i="4"/>
  <c r="F117" i="4"/>
  <c r="N119" i="4"/>
  <c r="M119" i="4"/>
  <c r="I119" i="4"/>
  <c r="E117" i="4"/>
  <c r="D117" i="4"/>
  <c r="D121" i="4" s="1"/>
  <c r="D33" i="4" s="1"/>
  <c r="W119" i="4"/>
  <c r="J114" i="4"/>
  <c r="J125" i="4" s="1"/>
  <c r="R117" i="4"/>
  <c r="F125" i="4"/>
  <c r="J119" i="4"/>
  <c r="R119" i="4"/>
  <c r="Z119" i="4"/>
  <c r="F31" i="1"/>
  <c r="D21" i="4" s="1"/>
  <c r="F32" i="1"/>
  <c r="D22" i="4" s="1"/>
  <c r="F33" i="1"/>
  <c r="D23" i="4" s="1"/>
  <c r="K110" i="4"/>
  <c r="K114" i="4" s="1"/>
  <c r="K125" i="4" s="1"/>
  <c r="M84" i="4"/>
  <c r="M111" i="4" s="1"/>
  <c r="M85" i="4"/>
  <c r="M112" i="4" s="1"/>
  <c r="N117" i="4"/>
  <c r="I117" i="4"/>
  <c r="L117" i="4"/>
  <c r="J117" i="4"/>
  <c r="T117" i="4"/>
  <c r="M117" i="4"/>
  <c r="W117" i="4"/>
  <c r="U117" i="4"/>
  <c r="O117" i="4"/>
  <c r="I32" i="4"/>
  <c r="I125" i="4"/>
  <c r="V117" i="4"/>
  <c r="P117" i="4"/>
  <c r="F37" i="1"/>
  <c r="E29" i="4"/>
  <c r="D29" i="4"/>
  <c r="D27" i="4"/>
  <c r="E26" i="4"/>
  <c r="F39" i="1"/>
  <c r="G41" i="3"/>
  <c r="G57" i="3" s="1"/>
  <c r="E125" i="4" l="1"/>
  <c r="K118" i="4"/>
  <c r="K121" i="4" s="1"/>
  <c r="K33" i="4" s="1"/>
  <c r="D125" i="4"/>
  <c r="G121" i="4"/>
  <c r="G33" i="4" s="1"/>
  <c r="H126" i="4"/>
  <c r="F30" i="1"/>
  <c r="F48" i="1" s="1"/>
  <c r="F121" i="4"/>
  <c r="F126" i="4" s="1"/>
  <c r="J121" i="4"/>
  <c r="J33" i="4" s="1"/>
  <c r="E121" i="4"/>
  <c r="E126" i="4" s="1"/>
  <c r="D126" i="4"/>
  <c r="J32" i="4"/>
  <c r="I121" i="4"/>
  <c r="I33" i="4" s="1"/>
  <c r="K32" i="4"/>
  <c r="L110" i="4"/>
  <c r="N84" i="4"/>
  <c r="N111" i="4" s="1"/>
  <c r="N85" i="4"/>
  <c r="N112" i="4" s="1"/>
  <c r="D28" i="4"/>
  <c r="D30" i="4" s="1"/>
  <c r="E28" i="4"/>
  <c r="E30" i="4" s="1"/>
  <c r="D128" i="4" l="1"/>
  <c r="D130" i="4" s="1"/>
  <c r="D34" i="4" s="1"/>
  <c r="D35" i="4" s="1"/>
  <c r="D39" i="4" s="1"/>
  <c r="D45" i="4" s="1"/>
  <c r="L114" i="4"/>
  <c r="L32" i="4" s="1"/>
  <c r="L118" i="4"/>
  <c r="L121" i="4" s="1"/>
  <c r="L33" i="4" s="1"/>
  <c r="G126" i="4"/>
  <c r="F33" i="4"/>
  <c r="J126" i="4"/>
  <c r="K126" i="4"/>
  <c r="E33" i="4"/>
  <c r="I126" i="4"/>
  <c r="O85" i="4"/>
  <c r="O112" i="4" s="1"/>
  <c r="M110" i="4"/>
  <c r="O84" i="4"/>
  <c r="O111" i="4" s="1"/>
  <c r="N110" i="4"/>
  <c r="F50" i="1"/>
  <c r="F54" i="1" s="1"/>
  <c r="F52" i="1"/>
  <c r="F64" i="1" s="1"/>
  <c r="L125" i="4" l="1"/>
  <c r="L126" i="4"/>
  <c r="N114" i="4"/>
  <c r="N32" i="4" s="1"/>
  <c r="N118" i="4"/>
  <c r="N121" i="4" s="1"/>
  <c r="M114" i="4"/>
  <c r="M32" i="4" s="1"/>
  <c r="M118" i="4"/>
  <c r="M121" i="4" s="1"/>
  <c r="P84" i="4"/>
  <c r="P111" i="4" s="1"/>
  <c r="P85" i="4"/>
  <c r="P112" i="4" s="1"/>
  <c r="E62" i="1"/>
  <c r="F62" i="1" s="1"/>
  <c r="F63" i="1"/>
  <c r="E47" i="4" s="1"/>
  <c r="N125" i="4" l="1"/>
  <c r="M125" i="4"/>
  <c r="C46" i="4"/>
  <c r="C50" i="4" s="1"/>
  <c r="D44" i="4" s="1"/>
  <c r="M33" i="4"/>
  <c r="M126" i="4"/>
  <c r="N126" i="4"/>
  <c r="N33" i="4"/>
  <c r="Q85" i="4"/>
  <c r="Q112" i="4" s="1"/>
  <c r="O110" i="4"/>
  <c r="Q84" i="4"/>
  <c r="Q111" i="4" s="1"/>
  <c r="E134" i="4"/>
  <c r="E137" i="4"/>
  <c r="D46" i="4" l="1"/>
  <c r="E46" i="4" s="1"/>
  <c r="E153" i="4" s="1"/>
  <c r="E171" i="4" s="1"/>
  <c r="E174" i="4" s="1"/>
  <c r="C153" i="4"/>
  <c r="C171" i="4" s="1"/>
  <c r="C174" i="4" s="1"/>
  <c r="C151" i="4"/>
  <c r="O114" i="4"/>
  <c r="O125" i="4" s="1"/>
  <c r="O118" i="4"/>
  <c r="O121" i="4" s="1"/>
  <c r="P110" i="4"/>
  <c r="R84" i="4"/>
  <c r="R111" i="4" s="1"/>
  <c r="R85" i="4"/>
  <c r="R112" i="4" s="1"/>
  <c r="E141" i="4"/>
  <c r="E138" i="4"/>
  <c r="E38" i="4" s="1"/>
  <c r="F134" i="4"/>
  <c r="E151" i="4" l="1"/>
  <c r="D50" i="4"/>
  <c r="E44" i="4" s="1"/>
  <c r="D153" i="4"/>
  <c r="D171" i="4" s="1"/>
  <c r="D174" i="4" s="1"/>
  <c r="D151" i="4"/>
  <c r="O32" i="4"/>
  <c r="P114" i="4"/>
  <c r="P32" i="4" s="1"/>
  <c r="P118" i="4"/>
  <c r="P121" i="4" s="1"/>
  <c r="O126" i="4"/>
  <c r="O33" i="4"/>
  <c r="Q110" i="4"/>
  <c r="S85" i="4"/>
  <c r="S112" i="4" s="1"/>
  <c r="S84" i="4"/>
  <c r="S111" i="4" s="1"/>
  <c r="R110" i="4"/>
  <c r="G134" i="4"/>
  <c r="H134" i="4" s="1"/>
  <c r="F138" i="4"/>
  <c r="F38" i="4" s="1"/>
  <c r="E127" i="4"/>
  <c r="E128" i="4" s="1"/>
  <c r="E130" i="4" s="1"/>
  <c r="E34" i="4" s="1"/>
  <c r="E35" i="4" s="1"/>
  <c r="E37" i="4"/>
  <c r="E139" i="4"/>
  <c r="F136" i="4" s="1"/>
  <c r="P125" i="4" l="1"/>
  <c r="R114" i="4"/>
  <c r="R125" i="4" s="1"/>
  <c r="R118" i="4"/>
  <c r="R121" i="4" s="1"/>
  <c r="Q114" i="4"/>
  <c r="Q125" i="4" s="1"/>
  <c r="Q118" i="4"/>
  <c r="Q121" i="4" s="1"/>
  <c r="P126" i="4"/>
  <c r="P33" i="4"/>
  <c r="T84" i="4"/>
  <c r="T111" i="4" s="1"/>
  <c r="T85" i="4"/>
  <c r="T112" i="4" s="1"/>
  <c r="E39" i="4"/>
  <c r="E45" i="4" s="1"/>
  <c r="E50" i="4" s="1"/>
  <c r="F44" i="4" s="1"/>
  <c r="F139" i="4"/>
  <c r="G136" i="4" s="1"/>
  <c r="F141" i="4"/>
  <c r="I134" i="4"/>
  <c r="H138" i="4"/>
  <c r="H38" i="4" s="1"/>
  <c r="G138" i="4"/>
  <c r="G38" i="4" s="1"/>
  <c r="Q32" i="4" l="1"/>
  <c r="R32" i="4"/>
  <c r="Q126" i="4"/>
  <c r="Q33" i="4"/>
  <c r="R33" i="4"/>
  <c r="R126" i="4"/>
  <c r="U85" i="4"/>
  <c r="U112" i="4" s="1"/>
  <c r="S110" i="4"/>
  <c r="U84" i="4"/>
  <c r="U111" i="4" s="1"/>
  <c r="J134" i="4"/>
  <c r="I138" i="4"/>
  <c r="I38" i="4" s="1"/>
  <c r="F127" i="4"/>
  <c r="F128" i="4" s="1"/>
  <c r="F130" i="4" s="1"/>
  <c r="F34" i="4" s="1"/>
  <c r="F35" i="4" s="1"/>
  <c r="F151" i="4" s="1"/>
  <c r="F37" i="4"/>
  <c r="G139" i="4"/>
  <c r="H136" i="4" s="1"/>
  <c r="G141" i="4"/>
  <c r="S114" i="4" l="1"/>
  <c r="S32" i="4" s="1"/>
  <c r="S118" i="4"/>
  <c r="S121" i="4" s="1"/>
  <c r="T110" i="4"/>
  <c r="V84" i="4"/>
  <c r="V111" i="4" s="1"/>
  <c r="V85" i="4"/>
  <c r="V112" i="4" s="1"/>
  <c r="G37" i="4"/>
  <c r="G127" i="4"/>
  <c r="G128" i="4" s="1"/>
  <c r="G130" i="4" s="1"/>
  <c r="G34" i="4" s="1"/>
  <c r="G35" i="4" s="1"/>
  <c r="H139" i="4"/>
  <c r="I136" i="4" s="1"/>
  <c r="H141" i="4"/>
  <c r="F39" i="4"/>
  <c r="J138" i="4"/>
  <c r="J38" i="4" s="1"/>
  <c r="K134" i="4"/>
  <c r="K138" i="4" s="1"/>
  <c r="K38" i="4" s="1"/>
  <c r="S125" i="4" l="1"/>
  <c r="T114" i="4"/>
  <c r="T125" i="4" s="1"/>
  <c r="T118" i="4"/>
  <c r="T121" i="4" s="1"/>
  <c r="S33" i="4"/>
  <c r="S126" i="4"/>
  <c r="U110" i="4"/>
  <c r="W85" i="4"/>
  <c r="W112" i="4" s="1"/>
  <c r="W84" i="4"/>
  <c r="W111" i="4" s="1"/>
  <c r="G39" i="4"/>
  <c r="G45" i="4" s="1"/>
  <c r="G151" i="4"/>
  <c r="L134" i="4"/>
  <c r="F45" i="4"/>
  <c r="F49" i="4" s="1"/>
  <c r="H127" i="4"/>
  <c r="H128" i="4" s="1"/>
  <c r="H130" i="4" s="1"/>
  <c r="H34" i="4" s="1"/>
  <c r="H35" i="4" s="1"/>
  <c r="H151" i="4" s="1"/>
  <c r="H172" i="4" s="1"/>
  <c r="H37" i="4"/>
  <c r="I139" i="4"/>
  <c r="J136" i="4" s="1"/>
  <c r="I141" i="4"/>
  <c r="T32" i="4" l="1"/>
  <c r="U114" i="4"/>
  <c r="U125" i="4" s="1"/>
  <c r="U118" i="4"/>
  <c r="U121" i="4" s="1"/>
  <c r="T126" i="4"/>
  <c r="T33" i="4"/>
  <c r="X84" i="4"/>
  <c r="X111" i="4" s="1"/>
  <c r="X85" i="4"/>
  <c r="X112" i="4" s="1"/>
  <c r="V110" i="4"/>
  <c r="F50" i="4"/>
  <c r="G44" i="4" s="1"/>
  <c r="G49" i="4" s="1"/>
  <c r="F153" i="4"/>
  <c r="F171" i="4" s="1"/>
  <c r="F174" i="4" s="1"/>
  <c r="I127" i="4"/>
  <c r="I128" i="4" s="1"/>
  <c r="I130" i="4" s="1"/>
  <c r="I34" i="4" s="1"/>
  <c r="I35" i="4" s="1"/>
  <c r="I151" i="4" s="1"/>
  <c r="I37" i="4"/>
  <c r="J139" i="4"/>
  <c r="K136" i="4" s="1"/>
  <c r="J141" i="4"/>
  <c r="H39" i="4"/>
  <c r="L138" i="4"/>
  <c r="L38" i="4" s="1"/>
  <c r="M134" i="4"/>
  <c r="U32" i="4" l="1"/>
  <c r="V114" i="4"/>
  <c r="V32" i="4" s="1"/>
  <c r="V118" i="4"/>
  <c r="V121" i="4" s="1"/>
  <c r="U33" i="4"/>
  <c r="U126" i="4"/>
  <c r="W110" i="4"/>
  <c r="Y85" i="4"/>
  <c r="Y112" i="4" s="1"/>
  <c r="Y84" i="4"/>
  <c r="Y111" i="4" s="1"/>
  <c r="G50" i="4"/>
  <c r="H44" i="4" s="1"/>
  <c r="G153" i="4"/>
  <c r="G171" i="4" s="1"/>
  <c r="G174" i="4" s="1"/>
  <c r="M138" i="4"/>
  <c r="M38" i="4" s="1"/>
  <c r="N134" i="4"/>
  <c r="N138" i="4" s="1"/>
  <c r="N38" i="4" s="1"/>
  <c r="H45" i="4"/>
  <c r="J127" i="4"/>
  <c r="J128" i="4" s="1"/>
  <c r="J130" i="4" s="1"/>
  <c r="J34" i="4" s="1"/>
  <c r="J35" i="4" s="1"/>
  <c r="J151" i="4" s="1"/>
  <c r="J172" i="4" s="1"/>
  <c r="J37" i="4"/>
  <c r="K139" i="4"/>
  <c r="L136" i="4" s="1"/>
  <c r="K141" i="4"/>
  <c r="I39" i="4"/>
  <c r="V125" i="4" l="1"/>
  <c r="W114" i="4"/>
  <c r="W125" i="4" s="1"/>
  <c r="W118" i="4"/>
  <c r="W121" i="4" s="1"/>
  <c r="V126" i="4"/>
  <c r="V33" i="4"/>
  <c r="Z84" i="4"/>
  <c r="Z111" i="4" s="1"/>
  <c r="X110" i="4"/>
  <c r="Z85" i="4"/>
  <c r="Z112" i="4" s="1"/>
  <c r="O134" i="4"/>
  <c r="P134" i="4" s="1"/>
  <c r="H49" i="4"/>
  <c r="H153" i="4" s="1"/>
  <c r="H171" i="4" s="1"/>
  <c r="I45" i="4"/>
  <c r="K127" i="4"/>
  <c r="K128" i="4" s="1"/>
  <c r="K130" i="4" s="1"/>
  <c r="K34" i="4" s="1"/>
  <c r="K35" i="4" s="1"/>
  <c r="K151" i="4" s="1"/>
  <c r="K37" i="4"/>
  <c r="L139" i="4"/>
  <c r="M136" i="4" s="1"/>
  <c r="L141" i="4"/>
  <c r="J39" i="4"/>
  <c r="W32" i="4" l="1"/>
  <c r="X114" i="4"/>
  <c r="X32" i="4" s="1"/>
  <c r="X118" i="4"/>
  <c r="X121" i="4" s="1"/>
  <c r="W33" i="4"/>
  <c r="W126" i="4"/>
  <c r="AA85" i="4"/>
  <c r="AA112" i="4" s="1"/>
  <c r="O138" i="4"/>
  <c r="O38" i="4" s="1"/>
  <c r="AA84" i="4"/>
  <c r="AA111" i="4" s="1"/>
  <c r="Y110" i="4"/>
  <c r="H50" i="4"/>
  <c r="I44" i="4" s="1"/>
  <c r="I49" i="4" s="1"/>
  <c r="I50" i="4" s="1"/>
  <c r="J44" i="4" s="1"/>
  <c r="Q134" i="4"/>
  <c r="P138" i="4"/>
  <c r="P38" i="4" s="1"/>
  <c r="J45" i="4"/>
  <c r="L37" i="4"/>
  <c r="L127" i="4"/>
  <c r="L128" i="4" s="1"/>
  <c r="L130" i="4" s="1"/>
  <c r="L34" i="4" s="1"/>
  <c r="L35" i="4" s="1"/>
  <c r="L151" i="4" s="1"/>
  <c r="M139" i="4"/>
  <c r="N136" i="4" s="1"/>
  <c r="M141" i="4"/>
  <c r="K39" i="4"/>
  <c r="X125" i="4" l="1"/>
  <c r="Y114" i="4"/>
  <c r="Y32" i="4" s="1"/>
  <c r="Y118" i="4"/>
  <c r="Y121" i="4" s="1"/>
  <c r="X33" i="4"/>
  <c r="X126" i="4"/>
  <c r="Z110" i="4"/>
  <c r="AB84" i="4"/>
  <c r="AB111" i="4" s="1"/>
  <c r="AB85" i="4"/>
  <c r="AB112" i="4" s="1"/>
  <c r="J49" i="4"/>
  <c r="J50" i="4" s="1"/>
  <c r="K44" i="4" s="1"/>
  <c r="I153" i="4"/>
  <c r="I171" i="4" s="1"/>
  <c r="I174" i="4" s="1"/>
  <c r="L39" i="4"/>
  <c r="L45" i="4" s="1"/>
  <c r="K45" i="4"/>
  <c r="M37" i="4"/>
  <c r="M127" i="4"/>
  <c r="M128" i="4" s="1"/>
  <c r="M130" i="4" s="1"/>
  <c r="M34" i="4" s="1"/>
  <c r="M35" i="4" s="1"/>
  <c r="N139" i="4"/>
  <c r="O136" i="4" s="1"/>
  <c r="N141" i="4"/>
  <c r="R134" i="4"/>
  <c r="Q138" i="4"/>
  <c r="Q38" i="4" s="1"/>
  <c r="Y125" i="4" l="1"/>
  <c r="Z114" i="4"/>
  <c r="Z125" i="4" s="1"/>
  <c r="Z118" i="4"/>
  <c r="Z121" i="4" s="1"/>
  <c r="Y126" i="4"/>
  <c r="Y33" i="4"/>
  <c r="AC85" i="4"/>
  <c r="AC112" i="4" s="1"/>
  <c r="AC84" i="4"/>
  <c r="AC111" i="4" s="1"/>
  <c r="AA110" i="4"/>
  <c r="K49" i="4"/>
  <c r="K50" i="4" s="1"/>
  <c r="L44" i="4" s="1"/>
  <c r="L49" i="4" s="1"/>
  <c r="J153" i="4"/>
  <c r="J171" i="4" s="1"/>
  <c r="M39" i="4"/>
  <c r="M45" i="4" s="1"/>
  <c r="M151" i="4"/>
  <c r="S134" i="4"/>
  <c r="R138" i="4"/>
  <c r="R38" i="4" s="1"/>
  <c r="N37" i="4"/>
  <c r="N127" i="4"/>
  <c r="N128" i="4" s="1"/>
  <c r="N130" i="4" s="1"/>
  <c r="N34" i="4" s="1"/>
  <c r="N35" i="4" s="1"/>
  <c r="O139" i="4"/>
  <c r="P136" i="4" s="1"/>
  <c r="O141" i="4"/>
  <c r="Z32" i="4" l="1"/>
  <c r="AA114" i="4"/>
  <c r="AA32" i="4" s="1"/>
  <c r="AA118" i="4"/>
  <c r="AA121" i="4" s="1"/>
  <c r="Z33" i="4"/>
  <c r="Z126" i="4"/>
  <c r="AB110" i="4"/>
  <c r="AD85" i="4"/>
  <c r="AD112" i="4" s="1"/>
  <c r="AD84" i="4"/>
  <c r="AC110" i="4"/>
  <c r="K153" i="4"/>
  <c r="K171" i="4" s="1"/>
  <c r="K174" i="4" s="1"/>
  <c r="N39" i="4"/>
  <c r="N45" i="4" s="1"/>
  <c r="N151" i="4"/>
  <c r="L50" i="4"/>
  <c r="M44" i="4" s="1"/>
  <c r="M49" i="4" s="1"/>
  <c r="M153" i="4" s="1"/>
  <c r="M171" i="4" s="1"/>
  <c r="M174" i="4" s="1"/>
  <c r="L153" i="4"/>
  <c r="L171" i="4" s="1"/>
  <c r="L174" i="4" s="1"/>
  <c r="O127" i="4"/>
  <c r="O128" i="4" s="1"/>
  <c r="O130" i="4" s="1"/>
  <c r="O34" i="4" s="1"/>
  <c r="O35" i="4" s="1"/>
  <c r="O151" i="4" s="1"/>
  <c r="O37" i="4"/>
  <c r="P139" i="4"/>
  <c r="Q136" i="4" s="1"/>
  <c r="P141" i="4"/>
  <c r="T134" i="4"/>
  <c r="S138" i="4"/>
  <c r="S38" i="4" s="1"/>
  <c r="AA125" i="4" l="1"/>
  <c r="AC114" i="4"/>
  <c r="AC125" i="4" s="1"/>
  <c r="AC118" i="4"/>
  <c r="AC121" i="4" s="1"/>
  <c r="AB114" i="4"/>
  <c r="AB32" i="4" s="1"/>
  <c r="AB118" i="4"/>
  <c r="AB121" i="4" s="1"/>
  <c r="AA33" i="4"/>
  <c r="AA126" i="4"/>
  <c r="AD111" i="4"/>
  <c r="AD110" i="4" s="1"/>
  <c r="M50" i="4"/>
  <c r="N44" i="4" s="1"/>
  <c r="N49" i="4" s="1"/>
  <c r="N153" i="4" s="1"/>
  <c r="N171" i="4" s="1"/>
  <c r="N174" i="4" s="1"/>
  <c r="U134" i="4"/>
  <c r="T138" i="4"/>
  <c r="T38" i="4" s="1"/>
  <c r="P127" i="4"/>
  <c r="P128" i="4" s="1"/>
  <c r="P130" i="4" s="1"/>
  <c r="P34" i="4" s="1"/>
  <c r="P35" i="4" s="1"/>
  <c r="P151" i="4" s="1"/>
  <c r="P37" i="4"/>
  <c r="Q139" i="4"/>
  <c r="R136" i="4" s="1"/>
  <c r="Q141" i="4"/>
  <c r="O39" i="4"/>
  <c r="AC32" i="4" l="1"/>
  <c r="AB125" i="4"/>
  <c r="AD114" i="4"/>
  <c r="AD32" i="4" s="1"/>
  <c r="AD118" i="4"/>
  <c r="AD121" i="4" s="1"/>
  <c r="AB126" i="4"/>
  <c r="AB33" i="4"/>
  <c r="AC126" i="4"/>
  <c r="AC33" i="4"/>
  <c r="N50" i="4"/>
  <c r="O44" i="4" s="1"/>
  <c r="O45" i="4"/>
  <c r="Q37" i="4"/>
  <c r="Q127" i="4"/>
  <c r="Q128" i="4" s="1"/>
  <c r="Q130" i="4" s="1"/>
  <c r="Q34" i="4" s="1"/>
  <c r="Q35" i="4" s="1"/>
  <c r="R139" i="4"/>
  <c r="S136" i="4" s="1"/>
  <c r="R141" i="4"/>
  <c r="P39" i="4"/>
  <c r="V134" i="4"/>
  <c r="U138" i="4"/>
  <c r="U38" i="4" s="1"/>
  <c r="AD125" i="4" l="1"/>
  <c r="AD33" i="4"/>
  <c r="AD126" i="4"/>
  <c r="O49" i="4"/>
  <c r="O50" i="4" s="1"/>
  <c r="P44" i="4" s="1"/>
  <c r="Q39" i="4"/>
  <c r="Q45" i="4" s="1"/>
  <c r="Q151" i="4"/>
  <c r="W134" i="4"/>
  <c r="V138" i="4"/>
  <c r="V38" i="4" s="1"/>
  <c r="P45" i="4"/>
  <c r="R127" i="4"/>
  <c r="R128" i="4" s="1"/>
  <c r="R130" i="4" s="1"/>
  <c r="R34" i="4" s="1"/>
  <c r="R35" i="4" s="1"/>
  <c r="R151" i="4" s="1"/>
  <c r="R37" i="4"/>
  <c r="S139" i="4"/>
  <c r="T136" i="4" s="1"/>
  <c r="S141" i="4"/>
  <c r="O153" i="4" l="1"/>
  <c r="O171" i="4" s="1"/>
  <c r="O174" i="4" s="1"/>
  <c r="W138" i="4"/>
  <c r="W38" i="4" s="1"/>
  <c r="X134" i="4"/>
  <c r="X138" i="4" s="1"/>
  <c r="X38" i="4" s="1"/>
  <c r="P49" i="4"/>
  <c r="P153" i="4" s="1"/>
  <c r="P171" i="4" s="1"/>
  <c r="P174" i="4" s="1"/>
  <c r="S37" i="4"/>
  <c r="S127" i="4"/>
  <c r="S128" i="4" s="1"/>
  <c r="S130" i="4" s="1"/>
  <c r="S34" i="4" s="1"/>
  <c r="S35" i="4" s="1"/>
  <c r="T139" i="4"/>
  <c r="U136" i="4" s="1"/>
  <c r="T141" i="4"/>
  <c r="R39" i="4"/>
  <c r="Y134" i="4" l="1"/>
  <c r="P50" i="4"/>
  <c r="Q44" i="4" s="1"/>
  <c r="Q49" i="4" s="1"/>
  <c r="Q153" i="4" s="1"/>
  <c r="Q171" i="4" s="1"/>
  <c r="Q174" i="4" s="1"/>
  <c r="S39" i="4"/>
  <c r="S45" i="4" s="1"/>
  <c r="S151" i="4"/>
  <c r="R45" i="4"/>
  <c r="T127" i="4"/>
  <c r="T128" i="4" s="1"/>
  <c r="T130" i="4" s="1"/>
  <c r="T34" i="4" s="1"/>
  <c r="T35" i="4" s="1"/>
  <c r="T151" i="4" s="1"/>
  <c r="T37" i="4"/>
  <c r="U139" i="4"/>
  <c r="V136" i="4" s="1"/>
  <c r="U141" i="4"/>
  <c r="Y138" i="4" l="1"/>
  <c r="Y38" i="4" s="1"/>
  <c r="Z134" i="4"/>
  <c r="Z138" i="4" s="1"/>
  <c r="Z38" i="4" s="1"/>
  <c r="Q50" i="4"/>
  <c r="R44" i="4" s="1"/>
  <c r="R49" i="4" s="1"/>
  <c r="U127" i="4"/>
  <c r="U128" i="4" s="1"/>
  <c r="U130" i="4" s="1"/>
  <c r="U34" i="4" s="1"/>
  <c r="U35" i="4" s="1"/>
  <c r="U151" i="4" s="1"/>
  <c r="U37" i="4"/>
  <c r="V139" i="4"/>
  <c r="W136" i="4" s="1"/>
  <c r="V141" i="4"/>
  <c r="T39" i="4"/>
  <c r="AA134" i="4" l="1"/>
  <c r="R50" i="4"/>
  <c r="S44" i="4" s="1"/>
  <c r="S49" i="4" s="1"/>
  <c r="S153" i="4" s="1"/>
  <c r="S171" i="4" s="1"/>
  <c r="S174" i="4" s="1"/>
  <c r="R153" i="4"/>
  <c r="R171" i="4" s="1"/>
  <c r="R174" i="4" s="1"/>
  <c r="T45" i="4"/>
  <c r="V127" i="4"/>
  <c r="V128" i="4" s="1"/>
  <c r="V130" i="4" s="1"/>
  <c r="V34" i="4" s="1"/>
  <c r="V35" i="4" s="1"/>
  <c r="V151" i="4" s="1"/>
  <c r="V37" i="4"/>
  <c r="W139" i="4"/>
  <c r="X136" i="4" s="1"/>
  <c r="W141" i="4"/>
  <c r="U39" i="4"/>
  <c r="AA138" i="4" l="1"/>
  <c r="AA38" i="4" s="1"/>
  <c r="AB134" i="4"/>
  <c r="X139" i="4"/>
  <c r="Y136" i="4" s="1"/>
  <c r="X141" i="4"/>
  <c r="S50" i="4"/>
  <c r="T44" i="4" s="1"/>
  <c r="T49" i="4" s="1"/>
  <c r="T50" i="4" s="1"/>
  <c r="U44" i="4" s="1"/>
  <c r="U45" i="4"/>
  <c r="W127" i="4"/>
  <c r="W128" i="4" s="1"/>
  <c r="W130" i="4" s="1"/>
  <c r="W34" i="4" s="1"/>
  <c r="W35" i="4" s="1"/>
  <c r="W151" i="4" s="1"/>
  <c r="W172" i="4" s="1"/>
  <c r="W37" i="4"/>
  <c r="V39" i="4"/>
  <c r="AB138" i="4" l="1"/>
  <c r="AB38" i="4" s="1"/>
  <c r="AC134" i="4"/>
  <c r="AC138" i="4" s="1"/>
  <c r="AC38" i="4" s="1"/>
  <c r="X127" i="4"/>
  <c r="X128" i="4" s="1"/>
  <c r="X130" i="4" s="1"/>
  <c r="X34" i="4" s="1"/>
  <c r="X35" i="4" s="1"/>
  <c r="X37" i="4"/>
  <c r="Y139" i="4"/>
  <c r="Z136" i="4" s="1"/>
  <c r="Y141" i="4"/>
  <c r="U49" i="4"/>
  <c r="U50" i="4" s="1"/>
  <c r="V44" i="4" s="1"/>
  <c r="T153" i="4"/>
  <c r="T171" i="4" s="1"/>
  <c r="T174" i="4" s="1"/>
  <c r="V45" i="4"/>
  <c r="W39" i="4"/>
  <c r="U153" i="4" l="1"/>
  <c r="U171" i="4" s="1"/>
  <c r="U174" i="4" s="1"/>
  <c r="AD134" i="4"/>
  <c r="AD138" i="4" s="1"/>
  <c r="AD38" i="4" s="1"/>
  <c r="Y127" i="4"/>
  <c r="Y128" i="4" s="1"/>
  <c r="Y130" i="4" s="1"/>
  <c r="Y34" i="4" s="1"/>
  <c r="Y35" i="4" s="1"/>
  <c r="Y37" i="4"/>
  <c r="Z139" i="4"/>
  <c r="AA136" i="4" s="1"/>
  <c r="Z141" i="4"/>
  <c r="X151" i="4"/>
  <c r="X39" i="4"/>
  <c r="V49" i="4"/>
  <c r="V50" i="4" s="1"/>
  <c r="W44" i="4" s="1"/>
  <c r="W45" i="4"/>
  <c r="H173" i="4" l="1"/>
  <c r="H174" i="4" s="1"/>
  <c r="J173" i="4"/>
  <c r="J174" i="4" s="1"/>
  <c r="X45" i="4"/>
  <c r="Z37" i="4"/>
  <c r="Z127" i="4"/>
  <c r="Z128" i="4" s="1"/>
  <c r="Z130" i="4" s="1"/>
  <c r="Z34" i="4" s="1"/>
  <c r="Z35" i="4" s="1"/>
  <c r="AA139" i="4"/>
  <c r="AB136" i="4" s="1"/>
  <c r="AA141" i="4"/>
  <c r="Y151" i="4"/>
  <c r="Y39" i="4"/>
  <c r="W49" i="4"/>
  <c r="W153" i="4" s="1"/>
  <c r="W171" i="4" s="1"/>
  <c r="W174" i="4" s="1"/>
  <c r="V153" i="4"/>
  <c r="V171" i="4" s="1"/>
  <c r="V174" i="4" s="1"/>
  <c r="C176" i="4" l="1"/>
  <c r="T20" i="1" s="1"/>
  <c r="C178" i="4"/>
  <c r="AB141" i="4"/>
  <c r="AB139" i="4"/>
  <c r="AC136" i="4" s="1"/>
  <c r="Y45" i="4"/>
  <c r="AA37" i="4"/>
  <c r="AA127" i="4"/>
  <c r="AA128" i="4" s="1"/>
  <c r="AA130" i="4" s="1"/>
  <c r="AA34" i="4" s="1"/>
  <c r="AA35" i="4" s="1"/>
  <c r="Z151" i="4"/>
  <c r="Z39" i="4"/>
  <c r="W50" i="4"/>
  <c r="S23" i="1" l="1"/>
  <c r="C179" i="4"/>
  <c r="T23" i="1" s="1"/>
  <c r="AC141" i="4"/>
  <c r="AC139" i="4"/>
  <c r="AD136" i="4" s="1"/>
  <c r="AB37" i="4"/>
  <c r="AB127" i="4"/>
  <c r="AB128" i="4" s="1"/>
  <c r="AB130" i="4" s="1"/>
  <c r="AB34" i="4" s="1"/>
  <c r="AB35" i="4" s="1"/>
  <c r="AE44" i="4"/>
  <c r="X44" i="4"/>
  <c r="Z45" i="4"/>
  <c r="AA151" i="4"/>
  <c r="AA39" i="4"/>
  <c r="AD141" i="4" l="1"/>
  <c r="AD139" i="4"/>
  <c r="AC127" i="4"/>
  <c r="AC128" i="4" s="1"/>
  <c r="AC130" i="4" s="1"/>
  <c r="AC34" i="4" s="1"/>
  <c r="AC35" i="4" s="1"/>
  <c r="AC37" i="4"/>
  <c r="AB151" i="4"/>
  <c r="AB39" i="4"/>
  <c r="AA45" i="4"/>
  <c r="X49" i="4"/>
  <c r="X153" i="4" s="1"/>
  <c r="AE49" i="4"/>
  <c r="AE153" i="4" s="1"/>
  <c r="AE50" i="4" l="1"/>
  <c r="AC151" i="4"/>
  <c r="AC39" i="4"/>
  <c r="AD127" i="4"/>
  <c r="AD128" i="4" s="1"/>
  <c r="AD130" i="4" s="1"/>
  <c r="AD34" i="4" s="1"/>
  <c r="AD35" i="4" s="1"/>
  <c r="AD37" i="4"/>
  <c r="AB45" i="4"/>
  <c r="X50" i="4"/>
  <c r="Y44" i="4" s="1"/>
  <c r="AD151" i="4" l="1"/>
  <c r="AD39" i="4"/>
  <c r="AC45" i="4"/>
  <c r="Y49" i="4"/>
  <c r="Y153" i="4" s="1"/>
  <c r="AD45" i="4" l="1"/>
  <c r="C162" i="4"/>
  <c r="C155" i="4"/>
  <c r="T5" i="1" s="1"/>
  <c r="Y50" i="4"/>
  <c r="Z44" i="4" s="1"/>
  <c r="C163" i="4" l="1"/>
  <c r="T10" i="1" s="1"/>
  <c r="S10" i="1"/>
  <c r="Z49" i="4"/>
  <c r="Z153" i="4" s="1"/>
  <c r="Z50" i="4" l="1"/>
  <c r="AA44" i="4" s="1"/>
  <c r="AA49" i="4" l="1"/>
  <c r="AA153" i="4" s="1"/>
  <c r="AA50" i="4" l="1"/>
  <c r="AB44" i="4" s="1"/>
  <c r="AB49" i="4" l="1"/>
  <c r="AB153" i="4" s="1"/>
  <c r="AB50" i="4" l="1"/>
  <c r="AC44" i="4" s="1"/>
  <c r="AC49" i="4" l="1"/>
  <c r="AC153" i="4" s="1"/>
  <c r="AC50" i="4" l="1"/>
  <c r="AD44" i="4" s="1"/>
  <c r="AD49" i="4" l="1"/>
  <c r="AD153" i="4" s="1"/>
  <c r="C159" i="4" l="1"/>
  <c r="C157" i="4"/>
  <c r="T6" i="1" s="1"/>
  <c r="AD50" i="4"/>
  <c r="C160" i="4" l="1"/>
  <c r="T9" i="1" s="1"/>
  <c r="S9" i="1"/>
</calcChain>
</file>

<file path=xl/sharedStrings.xml><?xml version="1.0" encoding="utf-8"?>
<sst xmlns="http://schemas.openxmlformats.org/spreadsheetml/2006/main" count="340" uniqueCount="251">
  <si>
    <t>Land</t>
  </si>
  <si>
    <t>General Assumptions</t>
  </si>
  <si>
    <t>Profitability</t>
  </si>
  <si>
    <t>Land Size</t>
  </si>
  <si>
    <t>[SQM]</t>
  </si>
  <si>
    <t>Construction Time</t>
  </si>
  <si>
    <t>[Years]</t>
  </si>
  <si>
    <t>Project - IRR</t>
  </si>
  <si>
    <t>Land Cost</t>
  </si>
  <si>
    <t>[SAR / SQM]</t>
  </si>
  <si>
    <t>Operational Years</t>
  </si>
  <si>
    <t>Equity - IRR</t>
  </si>
  <si>
    <t>VAT &amp; COMM</t>
  </si>
  <si>
    <t>[%]</t>
  </si>
  <si>
    <t>Total Land Cost</t>
  </si>
  <si>
    <t>[SAR]</t>
  </si>
  <si>
    <t>Inflation Rate</t>
  </si>
  <si>
    <t>Annualized</t>
  </si>
  <si>
    <t>Tax Rate</t>
  </si>
  <si>
    <t>Return on Investment</t>
  </si>
  <si>
    <t>FAR</t>
  </si>
  <si>
    <t>%</t>
  </si>
  <si>
    <t>Return on Invested Capital</t>
  </si>
  <si>
    <t>Development Cost</t>
  </si>
  <si>
    <t xml:space="preserve">Revenue </t>
  </si>
  <si>
    <t>Early Exit - Profitability</t>
  </si>
  <si>
    <t>Construction Cost</t>
  </si>
  <si>
    <t>Hotel Revenue</t>
  </si>
  <si>
    <t>Exit Year</t>
  </si>
  <si>
    <t>BUA</t>
  </si>
  <si>
    <t>Cost / SQM</t>
  </si>
  <si>
    <t>Area (SQM)</t>
  </si>
  <si>
    <t>Cost</t>
  </si>
  <si>
    <t># Units</t>
  </si>
  <si>
    <t>Price / Night</t>
  </si>
  <si>
    <t>Revenue</t>
  </si>
  <si>
    <t>Cap Rate</t>
  </si>
  <si>
    <t>Office &amp; Clinic</t>
  </si>
  <si>
    <t>Hotel 32m - Studio</t>
  </si>
  <si>
    <t xml:space="preserve">Retail &amp; Entertainment </t>
  </si>
  <si>
    <t>Hotel 48m - 1 Bed Room</t>
  </si>
  <si>
    <t>(120 key) Hotel (32 SQM GLA)</t>
  </si>
  <si>
    <t>Hotel 64m - 2 Bed Room</t>
  </si>
  <si>
    <t>Landscaping &amp; Surface Parking</t>
  </si>
  <si>
    <t>Room Rent</t>
  </si>
  <si>
    <t>Basement</t>
  </si>
  <si>
    <t>Provision for Services at 7% from land</t>
  </si>
  <si>
    <t>Other Income</t>
  </si>
  <si>
    <t>Enabling &amp; Permits</t>
  </si>
  <si>
    <t>Retail &amp; Offices</t>
  </si>
  <si>
    <t>Price / SQM</t>
  </si>
  <si>
    <t>Sub-Total Construction Cost</t>
  </si>
  <si>
    <t>Soft Cost</t>
  </si>
  <si>
    <t>Retail &amp; Offices Rent</t>
  </si>
  <si>
    <t>Design &amp; Consultations</t>
  </si>
  <si>
    <t>Architecture &amp; Façade</t>
  </si>
  <si>
    <t>Total Revenue</t>
  </si>
  <si>
    <t>Interior Design &amp; Way finding</t>
  </si>
  <si>
    <t>Engineering Scope</t>
  </si>
  <si>
    <t>Rental Increments</t>
  </si>
  <si>
    <t>% Increase</t>
  </si>
  <si>
    <t>Every __ Years</t>
  </si>
  <si>
    <t>General Studies</t>
  </si>
  <si>
    <t>Lighting/Landscape</t>
  </si>
  <si>
    <t>Developer Fee</t>
  </si>
  <si>
    <t>Supervision</t>
  </si>
  <si>
    <t>Sales &amp; Marketing</t>
  </si>
  <si>
    <t>Branding</t>
  </si>
  <si>
    <t>Brochure &amp; Sales Collaterals</t>
  </si>
  <si>
    <t>Occupancy Rate</t>
  </si>
  <si>
    <t>Y1</t>
  </si>
  <si>
    <t>Y2</t>
  </si>
  <si>
    <t>Y3</t>
  </si>
  <si>
    <t>Y4+</t>
  </si>
  <si>
    <t>Digital marketing &amp; Social Media</t>
  </si>
  <si>
    <t>Model, Virtual Reality &amp; Renders</t>
  </si>
  <si>
    <t>Launch &amp; Operation plan</t>
  </si>
  <si>
    <t>Sub-Total Soft Cost</t>
  </si>
  <si>
    <t>VAT</t>
  </si>
  <si>
    <t>Contingency</t>
  </si>
  <si>
    <t>Total - Excluding VAT</t>
  </si>
  <si>
    <t>Total - Including VAT</t>
  </si>
  <si>
    <t>Operating Expenses</t>
  </si>
  <si>
    <t>Funding Mix</t>
  </si>
  <si>
    <t>General Expense</t>
  </si>
  <si>
    <t>Maintenance Expense</t>
  </si>
  <si>
    <t>SAR</t>
  </si>
  <si>
    <t>Operator Fee</t>
  </si>
  <si>
    <t>Equity</t>
  </si>
  <si>
    <t>Opex</t>
  </si>
  <si>
    <t>Debt</t>
  </si>
  <si>
    <t>Total Capital Raised</t>
  </si>
  <si>
    <t>Loan Assumption</t>
  </si>
  <si>
    <t>Loan Life</t>
  </si>
  <si>
    <t>Grace Period</t>
  </si>
  <si>
    <t>Interest Rate</t>
  </si>
  <si>
    <t>-</t>
  </si>
  <si>
    <t>Y0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</si>
  <si>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</si>
  <si>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</si>
  <si>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</si>
  <si>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</si>
  <si>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</si>
  <si>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</si>
  <si>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</si>
  <si>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</si>
  <si>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</si>
  <si>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</si>
  <si>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</si>
  <si>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</si>
  <si>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</si>
  <si>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</si>
  <si>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</si>
  <si>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</si>
  <si>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</si>
  <si>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</si>
  <si>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</si>
  <si>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</si>
  <si>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</si>
  <si>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</si>
  <si>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</si>
  <si>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</si>
  <si>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Terminal Value</t>
  </si>
  <si>
    <t>C1</t>
  </si>
  <si>
    <t>C2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</si>
  <si>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</si>
  <si>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</si>
  <si>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</si>
  <si>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</si>
  <si>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</si>
  <si>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</si>
  <si>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</si>
  <si>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</si>
  <si>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</si>
  <si>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</si>
  <si>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</si>
  <si>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</si>
  <si>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</si>
  <si>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</si>
  <si>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</si>
  <si>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</si>
  <si>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</si>
  <si>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</si>
  <si>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</si>
  <si>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</si>
  <si>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</si>
  <si>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</si>
  <si>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</si>
  <si>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</si>
  <si>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</si>
  <si>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Land Purchase</t>
  </si>
  <si>
    <t>Total Project cost</t>
  </si>
  <si>
    <t>Operating Costs</t>
  </si>
  <si>
    <t>Tax</t>
  </si>
  <si>
    <t>CashFlow Available for Debt Service</t>
  </si>
  <si>
    <t>Interest Expense</t>
  </si>
  <si>
    <t>Principal Repayment</t>
  </si>
  <si>
    <t>CashFlow Available for Investors</t>
  </si>
  <si>
    <t>Bank Account</t>
  </si>
  <si>
    <t xml:space="preserve"> </t>
  </si>
  <si>
    <t>Opening Balance</t>
  </si>
  <si>
    <t>Net Project Cash Flow</t>
  </si>
  <si>
    <t>Equity Injected</t>
  </si>
  <si>
    <t>Debt Injected</t>
  </si>
  <si>
    <t>Equity Injection to Pay off debt at exit</t>
  </si>
  <si>
    <t>Dividend Payout</t>
  </si>
  <si>
    <t>Closing Balance</t>
  </si>
  <si>
    <t>Indicators</t>
  </si>
  <si>
    <t>Fund Year</t>
  </si>
  <si>
    <t>Operational Year</t>
  </si>
  <si>
    <t>Inflation index</t>
  </si>
  <si>
    <t>Days</t>
  </si>
  <si>
    <t>Hotel - Units</t>
  </si>
  <si>
    <t>Hotal - Rent Increments</t>
  </si>
  <si>
    <t>Hotel - Rental Rate</t>
  </si>
  <si>
    <t>Hotel - Occupancy Rate</t>
  </si>
  <si>
    <t>Retail &amp; Offices - Area (SQM)</t>
  </si>
  <si>
    <t>Retail &amp; Offices - Occupancy</t>
  </si>
  <si>
    <t>Retail &amp; Offices - Rent Increments</t>
  </si>
  <si>
    <t>Retail &amp; Offices - Rental Rate</t>
  </si>
  <si>
    <t>Operations</t>
  </si>
  <si>
    <t>Hotel - Revenue</t>
  </si>
  <si>
    <t>Retail &amp; Offices - Revenue</t>
  </si>
  <si>
    <t>Total Operating Expenses</t>
  </si>
  <si>
    <t>Total revenues</t>
  </si>
  <si>
    <t>Total operating costs</t>
  </si>
  <si>
    <t>Interest expenses</t>
  </si>
  <si>
    <t>Assessable income</t>
  </si>
  <si>
    <t>Tax payable</t>
  </si>
  <si>
    <t>Financing</t>
  </si>
  <si>
    <t>Opening balance</t>
  </si>
  <si>
    <t>Additions</t>
  </si>
  <si>
    <t>Principal repayment</t>
  </si>
  <si>
    <t>Closing balance</t>
  </si>
  <si>
    <t xml:space="preserve">Interest </t>
  </si>
  <si>
    <t>Land Appreciation</t>
  </si>
  <si>
    <t>Land Value</t>
  </si>
  <si>
    <t>Cash available for Debt Service</t>
  </si>
  <si>
    <t>Cash available for Investors</t>
  </si>
  <si>
    <t>Project IRR</t>
  </si>
  <si>
    <t>Equity IRR</t>
  </si>
  <si>
    <t>ROI</t>
  </si>
  <si>
    <t>ROI - Annualized</t>
  </si>
  <si>
    <t>ROIC</t>
  </si>
  <si>
    <t>ROIC - Annualized</t>
  </si>
  <si>
    <t>Early Exit</t>
  </si>
  <si>
    <t>Fund Life</t>
  </si>
  <si>
    <t>Debt Repayment</t>
  </si>
  <si>
    <t>Cash available for Investors - Early exit</t>
  </si>
  <si>
    <t>M Traveler park Financial and Project Initial study Al Hasa</t>
  </si>
  <si>
    <t>R4</t>
  </si>
  <si>
    <t>LAND</t>
  </si>
  <si>
    <t>SITE INFORMATION (440m sea x 250m depth)</t>
  </si>
  <si>
    <t>AREA</t>
  </si>
  <si>
    <t>Land cost</t>
  </si>
  <si>
    <t>SQM PRICE</t>
  </si>
  <si>
    <t xml:space="preserve">TOTAL </t>
  </si>
  <si>
    <t>CONSTRUCTION</t>
  </si>
  <si>
    <t>TYPE</t>
  </si>
  <si>
    <t>SQM COST</t>
  </si>
  <si>
    <t>PERCENTAGE</t>
  </si>
  <si>
    <t>TOTAL</t>
  </si>
  <si>
    <t xml:space="preserve">Retail &amp; Entertanment </t>
  </si>
  <si>
    <t>Landscaping &amp; surface parking</t>
  </si>
  <si>
    <t>Basment</t>
  </si>
  <si>
    <t>provision for SERVICES at 7% from land</t>
  </si>
  <si>
    <t>SOFT COST</t>
  </si>
  <si>
    <t>Developer</t>
  </si>
  <si>
    <t>launch &amp; Operation plan</t>
  </si>
  <si>
    <t>Sub TOTAL</t>
  </si>
  <si>
    <t>GRAND TOTAL</t>
  </si>
  <si>
    <t>Rent REVENUE</t>
  </si>
  <si>
    <t>FLOOR</t>
  </si>
  <si>
    <t>APART</t>
  </si>
  <si>
    <t>No. of BEDROOM</t>
  </si>
  <si>
    <t>AVG PRICE per night</t>
  </si>
  <si>
    <t>Occupancy rate at 60%</t>
  </si>
  <si>
    <t xml:space="preserve"> VALUE without VAT/ Comm</t>
  </si>
  <si>
    <t>Hotel 32m</t>
  </si>
  <si>
    <t>Studio</t>
  </si>
  <si>
    <t>including VAT 15%</t>
  </si>
  <si>
    <t>Hotel 48m</t>
  </si>
  <si>
    <t>1 bed room</t>
  </si>
  <si>
    <t>Hotel 64m</t>
  </si>
  <si>
    <t>2 bed room</t>
  </si>
  <si>
    <t>TOTAL units</t>
  </si>
  <si>
    <t>Other income</t>
  </si>
  <si>
    <t>Retail</t>
  </si>
  <si>
    <t>Capitalization at 8%</t>
  </si>
  <si>
    <t>Entirtainment Offices</t>
  </si>
  <si>
    <t>99999999999999999999999999999999999999999999999999999999999999999999999999999999999999993985-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</si>
</sst>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_ ;\-#,##0\ "/>
    <numFmt numFmtId="167" formatCode="_([$SAR]\ * #,##0.00_);_([$SAR]\ * \(#,##0.00\);_([$SAR]\ * &quot;-&quot;??_);_(@_)"/>
    <numFmt numFmtId="168" formatCode="_([$SAR]\ * #,##0_);_([$SAR]\ * \(#,##0\);_([$SAR]\ * &quot;-&quot;??_);_(@_)"/>
    <numFmt numFmtId="169" formatCode="General\ &quot;m²&quot;"/>
    <numFmt numFmtId="170" formatCode="&quot;GLA =&quot;\ General\ &quot;m²&quot;"/>
    <numFmt numFmtId="171" formatCode="&quot;BUA =&quot;\ General\ &quot;m²&quot;"/>
    <numFmt numFmtId="172" formatCode="0%\ &quot;of Grand Total&quot;"/>
    <numFmt numFmtId="173" formatCode="0.000%"/>
    <numFmt numFmtId="174" formatCode="[$SAR]\ #,##0"/>
    <numFmt numFmtId="175" formatCode="[$-F800]dddd\,\ mmmm\ dd\,\ yyyy"/>
    <numFmt numFmtId="176" formatCode="&quot;Created By&quot;\ General"/>
    <numFmt numFmtId="177" formatCode="#,##0.00_);\(#,##0.00\);&quot;-&quot;"/>
    <numFmt numFmtId="178" formatCode="#,##0.0_);\(#,##0.0\);&quot;-&quot;"/>
    <numFmt numFmtId="179" formatCode="#,##0_);\(#,##0\);&quot;-&quot;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Kanit Regular"/>
    </font>
    <font>
      <b/>
      <sz val="14"/>
      <color theme="1"/>
      <name val="Kanit Light"/>
    </font>
    <font>
      <sz val="10"/>
      <color theme="1"/>
      <name val="Kanit Regular"/>
    </font>
    <font>
      <b/>
      <sz val="10"/>
      <color theme="1"/>
      <name val="Kanit Light"/>
    </font>
    <font>
      <b/>
      <sz val="10"/>
      <color theme="1"/>
      <name val="Kanit Regular"/>
    </font>
    <font>
      <sz val="10"/>
      <color theme="0" tint="-0.34998626667073579"/>
      <name val="Kanit Regular"/>
    </font>
    <font>
      <b/>
      <sz val="14"/>
      <color theme="0"/>
      <name val="Kanit Light"/>
    </font>
    <font>
      <sz val="10"/>
      <color theme="0" tint="-0.499984740745262"/>
      <name val="Kanit Regular"/>
    </font>
    <font>
      <sz val="10"/>
      <color theme="1"/>
      <name val="Kanit Italic"/>
    </font>
    <font>
      <b/>
      <sz val="10"/>
      <color theme="1"/>
      <name val="Kanit Italic"/>
    </font>
    <font>
      <sz val="14"/>
      <color theme="1"/>
      <name val="Kanit Light"/>
    </font>
    <font>
      <b/>
      <sz val="14"/>
      <color rgb="FFC00000"/>
      <name val="Kanit Light"/>
    </font>
    <font>
      <sz val="10"/>
      <color theme="1"/>
      <name val="Kanit Light"/>
    </font>
    <font>
      <sz val="9"/>
      <color rgb="FF0000FF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i/>
      <sz val="9"/>
      <color rgb="FF0000FF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4CD0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1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Dashed">
        <color rgb="FFC4CD01"/>
      </left>
      <right/>
      <top style="mediumDashed">
        <color rgb="FFC4CD01"/>
      </top>
      <bottom/>
      <diagonal/>
    </border>
    <border>
      <left/>
      <right/>
      <top style="mediumDashed">
        <color rgb="FFC4CD01"/>
      </top>
      <bottom/>
      <diagonal/>
    </border>
    <border>
      <left/>
      <right style="mediumDashed">
        <color rgb="FFC4CD01"/>
      </right>
      <top style="mediumDashed">
        <color rgb="FFC4CD01"/>
      </top>
      <bottom/>
      <diagonal/>
    </border>
    <border>
      <left style="mediumDashed">
        <color rgb="FFC4CD01"/>
      </left>
      <right/>
      <top/>
      <bottom/>
      <diagonal/>
    </border>
    <border>
      <left/>
      <right style="mediumDashed">
        <color rgb="FFC4CD01"/>
      </right>
      <top/>
      <bottom/>
      <diagonal/>
    </border>
    <border>
      <left style="mediumDashed">
        <color rgb="FFC4CD01"/>
      </left>
      <right/>
      <top/>
      <bottom style="mediumDashed">
        <color rgb="FFC4CD01"/>
      </bottom>
      <diagonal/>
    </border>
    <border>
      <left/>
      <right/>
      <top/>
      <bottom style="mediumDashed">
        <color rgb="FFC4CD01"/>
      </bottom>
      <diagonal/>
    </border>
    <border>
      <left/>
      <right style="mediumDashed">
        <color rgb="FFC4CD01"/>
      </right>
      <top/>
      <bottom style="mediumDashed">
        <color rgb="FFC4CD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 style="double">
        <color indexed="64"/>
      </bottom>
      <diagonal/>
    </border>
    <border>
      <left/>
      <right style="thin">
        <color theme="1" tint="0.499984740745262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double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theme="8" tint="-0.499984740745262"/>
      </left>
      <right/>
      <top style="slantDashDot">
        <color theme="8" tint="-0.499984740745262"/>
      </top>
      <bottom/>
      <diagonal/>
    </border>
    <border>
      <left/>
      <right/>
      <top style="slantDashDot">
        <color theme="8" tint="-0.499984740745262"/>
      </top>
      <bottom/>
      <diagonal/>
    </border>
    <border>
      <left/>
      <right style="slantDashDot">
        <color theme="8" tint="-0.499984740745262"/>
      </right>
      <top style="slantDashDot">
        <color theme="8" tint="-0.499984740745262"/>
      </top>
      <bottom/>
      <diagonal/>
    </border>
    <border>
      <left style="slantDashDot">
        <color theme="8" tint="-0.499984740745262"/>
      </left>
      <right/>
      <top/>
      <bottom/>
      <diagonal/>
    </border>
    <border>
      <left/>
      <right style="slantDashDot">
        <color theme="8" tint="-0.499984740745262"/>
      </right>
      <top/>
      <bottom/>
      <diagonal/>
    </border>
    <border>
      <left style="slantDashDot">
        <color theme="8" tint="-0.499984740745262"/>
      </left>
      <right/>
      <top/>
      <bottom style="slantDashDot">
        <color theme="8" tint="-0.499984740745262"/>
      </bottom>
      <diagonal/>
    </border>
    <border>
      <left/>
      <right/>
      <top/>
      <bottom style="slantDashDot">
        <color theme="8" tint="-0.499984740745262"/>
      </bottom>
      <diagonal/>
    </border>
    <border>
      <left/>
      <right style="slantDashDot">
        <color theme="8" tint="-0.499984740745262"/>
      </right>
      <top/>
      <bottom style="slantDashDot">
        <color theme="8" tint="-0.499984740745262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3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6" fontId="9" fillId="3" borderId="1" xfId="1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5" fontId="8" fillId="0" borderId="0" xfId="2" applyNumberFormat="1" applyFont="1" applyAlignment="1">
      <alignment vertical="center"/>
    </xf>
    <xf numFmtId="177" fontId="8" fillId="0" borderId="0" xfId="1" applyFont="1" applyAlignment="1">
      <alignment vertical="center"/>
    </xf>
    <xf numFmtId="165" fontId="9" fillId="3" borderId="1" xfId="2" applyNumberFormat="1" applyFont="1" applyFill="1" applyBorder="1" applyAlignment="1">
      <alignment horizontal="center" vertical="center"/>
    </xf>
    <xf numFmtId="166" fontId="9" fillId="3" borderId="16" xfId="1" applyNumberFormat="1" applyFont="1" applyFill="1" applyBorder="1" applyAlignment="1">
      <alignment horizontal="center" vertical="center"/>
    </xf>
    <xf numFmtId="9" fontId="9" fillId="3" borderId="1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9" fontId="15" fillId="4" borderId="19" xfId="2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168" fontId="15" fillId="4" borderId="22" xfId="0" applyNumberFormat="1" applyFont="1" applyFill="1" applyBorder="1" applyAlignment="1">
      <alignment horizontal="center" vertical="center"/>
    </xf>
    <xf numFmtId="168" fontId="16" fillId="0" borderId="19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68" fontId="16" fillId="0" borderId="20" xfId="0" applyNumberFormat="1" applyFont="1" applyBorder="1" applyAlignment="1">
      <alignment horizontal="center" vertical="center"/>
    </xf>
    <xf numFmtId="169" fontId="16" fillId="5" borderId="20" xfId="0" applyNumberFormat="1" applyFont="1" applyFill="1" applyBorder="1" applyAlignment="1">
      <alignment horizontal="center" vertical="center"/>
    </xf>
    <xf numFmtId="0" fontId="16" fillId="0" borderId="20" xfId="3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8" fontId="16" fillId="0" borderId="26" xfId="0" applyNumberFormat="1" applyFont="1" applyBorder="1" applyAlignment="1">
      <alignment horizontal="center" vertical="center"/>
    </xf>
    <xf numFmtId="168" fontId="16" fillId="0" borderId="27" xfId="0" applyNumberFormat="1" applyFont="1" applyBorder="1" applyAlignment="1">
      <alignment horizontal="center" vertical="center"/>
    </xf>
    <xf numFmtId="169" fontId="16" fillId="5" borderId="27" xfId="0" applyNumberFormat="1" applyFont="1" applyFill="1" applyBorder="1" applyAlignment="1">
      <alignment horizontal="center" vertical="center"/>
    </xf>
    <xf numFmtId="0" fontId="16" fillId="0" borderId="16" xfId="3" applyNumberFormat="1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68" fontId="18" fillId="0" borderId="27" xfId="0" applyNumberFormat="1" applyFont="1" applyBorder="1" applyAlignment="1">
      <alignment horizontal="center" vertical="center"/>
    </xf>
    <xf numFmtId="170" fontId="18" fillId="0" borderId="27" xfId="0" applyNumberFormat="1" applyFont="1" applyBorder="1" applyAlignment="1">
      <alignment horizontal="center" vertical="center"/>
    </xf>
    <xf numFmtId="169" fontId="18" fillId="0" borderId="27" xfId="0" applyNumberFormat="1" applyFont="1" applyBorder="1" applyAlignment="1">
      <alignment horizontal="center" vertical="center"/>
    </xf>
    <xf numFmtId="9" fontId="16" fillId="0" borderId="27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168" fontId="16" fillId="0" borderId="30" xfId="0" applyNumberFormat="1" applyFont="1" applyBorder="1" applyAlignment="1">
      <alignment horizontal="center" vertical="center"/>
    </xf>
    <xf numFmtId="164" fontId="16" fillId="0" borderId="16" xfId="3" applyNumberFormat="1" applyFont="1" applyFill="1" applyBorder="1" applyAlignment="1">
      <alignment horizontal="center" vertical="center"/>
    </xf>
    <xf numFmtId="168" fontId="16" fillId="0" borderId="16" xfId="0" applyNumberFormat="1" applyFont="1" applyBorder="1" applyAlignment="1">
      <alignment horizontal="center" vertical="center"/>
    </xf>
    <xf numFmtId="169" fontId="16" fillId="0" borderId="16" xfId="0" applyNumberFormat="1" applyFont="1" applyBorder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168" fontId="18" fillId="0" borderId="16" xfId="0" applyNumberFormat="1" applyFont="1" applyBorder="1" applyAlignment="1">
      <alignment horizontal="center" vertical="center"/>
    </xf>
    <xf numFmtId="170" fontId="18" fillId="0" borderId="16" xfId="0" applyNumberFormat="1" applyFont="1" applyBorder="1" applyAlignment="1">
      <alignment horizontal="center" vertical="center"/>
    </xf>
    <xf numFmtId="169" fontId="18" fillId="0" borderId="16" xfId="0" applyNumberFormat="1" applyFont="1" applyBorder="1" applyAlignment="1">
      <alignment horizontal="center" vertical="center"/>
    </xf>
    <xf numFmtId="168" fontId="19" fillId="0" borderId="16" xfId="0" applyNumberFormat="1" applyFont="1" applyBorder="1" applyAlignment="1">
      <alignment vertical="center"/>
    </xf>
    <xf numFmtId="169" fontId="19" fillId="0" borderId="16" xfId="0" applyNumberFormat="1" applyFont="1" applyBorder="1" applyAlignment="1">
      <alignment horizontal="center" vertical="center"/>
    </xf>
    <xf numFmtId="168" fontId="16" fillId="0" borderId="16" xfId="0" applyNumberFormat="1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168" fontId="17" fillId="0" borderId="22" xfId="0" applyNumberFormat="1" applyFont="1" applyBorder="1" applyAlignment="1">
      <alignment horizontal="center" vertical="center"/>
    </xf>
    <xf numFmtId="168" fontId="17" fillId="0" borderId="23" xfId="0" applyNumberFormat="1" applyFont="1" applyBorder="1" applyAlignment="1">
      <alignment horizontal="center" vertical="center"/>
    </xf>
    <xf numFmtId="169" fontId="17" fillId="0" borderId="23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8" fontId="20" fillId="7" borderId="34" xfId="0" applyNumberFormat="1" applyFont="1" applyFill="1" applyBorder="1" applyAlignment="1">
      <alignment horizontal="center" vertical="center"/>
    </xf>
    <xf numFmtId="168" fontId="16" fillId="0" borderId="22" xfId="0" applyNumberFormat="1" applyFont="1" applyBorder="1" applyAlignment="1">
      <alignment horizontal="center" vertical="center"/>
    </xf>
    <xf numFmtId="9" fontId="16" fillId="0" borderId="23" xfId="0" applyNumberFormat="1" applyFont="1" applyBorder="1" applyAlignment="1">
      <alignment horizontal="center" vertical="center"/>
    </xf>
    <xf numFmtId="168" fontId="15" fillId="8" borderId="19" xfId="0" applyNumberFormat="1" applyFont="1" applyFill="1" applyBorder="1" applyAlignment="1">
      <alignment vertical="center"/>
    </xf>
    <xf numFmtId="168" fontId="15" fillId="4" borderId="39" xfId="0" applyNumberFormat="1" applyFont="1" applyFill="1" applyBorder="1" applyAlignment="1">
      <alignment horizontal="center" vertical="center"/>
    </xf>
    <xf numFmtId="165" fontId="15" fillId="4" borderId="40" xfId="0" applyNumberFormat="1" applyFont="1" applyFill="1" applyBorder="1" applyAlignment="1">
      <alignment horizontal="center" vertical="center"/>
    </xf>
    <xf numFmtId="168" fontId="21" fillId="0" borderId="26" xfId="0" applyNumberFormat="1" applyFont="1" applyBorder="1" applyAlignment="1">
      <alignment vertical="center"/>
    </xf>
    <xf numFmtId="165" fontId="21" fillId="0" borderId="27" xfId="0" applyNumberFormat="1" applyFont="1" applyBorder="1" applyAlignment="1">
      <alignment horizontal="center" vertical="center"/>
    </xf>
    <xf numFmtId="168" fontId="22" fillId="0" borderId="51" xfId="0" applyNumberFormat="1" applyFont="1" applyBorder="1" applyAlignment="1">
      <alignment horizontal="center" vertical="center"/>
    </xf>
    <xf numFmtId="9" fontId="23" fillId="0" borderId="52" xfId="0" applyNumberFormat="1" applyFont="1" applyBorder="1" applyAlignment="1">
      <alignment horizontal="center" vertical="center"/>
    </xf>
    <xf numFmtId="0" fontId="23" fillId="0" borderId="53" xfId="0" applyFont="1" applyBorder="1" applyAlignment="1">
      <alignment vertical="center"/>
    </xf>
    <xf numFmtId="168" fontId="22" fillId="0" borderId="56" xfId="0" applyNumberFormat="1" applyFont="1" applyBorder="1" applyAlignment="1">
      <alignment horizontal="center" vertical="center"/>
    </xf>
    <xf numFmtId="165" fontId="23" fillId="0" borderId="52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9" fontId="23" fillId="0" borderId="57" xfId="0" applyNumberFormat="1" applyFont="1" applyBorder="1" applyAlignment="1">
      <alignment horizontal="center" vertical="center"/>
    </xf>
    <xf numFmtId="0" fontId="23" fillId="0" borderId="58" xfId="0" applyFont="1" applyBorder="1" applyAlignment="1">
      <alignment vertical="center"/>
    </xf>
    <xf numFmtId="168" fontId="21" fillId="0" borderId="56" xfId="0" applyNumberFormat="1" applyFont="1" applyBorder="1" applyAlignment="1">
      <alignment horizontal="center" vertical="center"/>
    </xf>
    <xf numFmtId="165" fontId="21" fillId="0" borderId="60" xfId="0" applyNumberFormat="1" applyFont="1" applyBorder="1" applyAlignment="1">
      <alignment horizontal="center" vertical="center"/>
    </xf>
    <xf numFmtId="168" fontId="21" fillId="0" borderId="64" xfId="0" applyNumberFormat="1" applyFont="1" applyBorder="1" applyAlignment="1">
      <alignment horizontal="center" vertical="center"/>
    </xf>
    <xf numFmtId="165" fontId="21" fillId="0" borderId="65" xfId="0" applyNumberFormat="1" applyFont="1" applyBorder="1" applyAlignment="1">
      <alignment horizontal="center" vertical="center"/>
    </xf>
    <xf numFmtId="168" fontId="21" fillId="0" borderId="67" xfId="0" applyNumberFormat="1" applyFont="1" applyBorder="1" applyAlignment="1">
      <alignment horizontal="center" vertical="center"/>
    </xf>
    <xf numFmtId="10" fontId="21" fillId="0" borderId="68" xfId="0" applyNumberFormat="1" applyFont="1" applyBorder="1" applyAlignment="1">
      <alignment horizontal="center" vertical="center"/>
    </xf>
    <xf numFmtId="168" fontId="22" fillId="5" borderId="72" xfId="0" applyNumberFormat="1" applyFont="1" applyFill="1" applyBorder="1" applyAlignment="1">
      <alignment vertical="center"/>
    </xf>
    <xf numFmtId="165" fontId="23" fillId="0" borderId="73" xfId="0" applyNumberFormat="1" applyFont="1" applyBorder="1" applyAlignment="1">
      <alignment horizontal="center" vertical="center"/>
    </xf>
    <xf numFmtId="0" fontId="23" fillId="0" borderId="74" xfId="0" applyFont="1" applyBorder="1" applyAlignment="1">
      <alignment vertical="center"/>
    </xf>
    <xf numFmtId="9" fontId="24" fillId="4" borderId="78" xfId="2" applyFont="1" applyFill="1" applyBorder="1" applyAlignment="1">
      <alignment horizontal="center" vertical="center"/>
    </xf>
    <xf numFmtId="171" fontId="15" fillId="4" borderId="78" xfId="0" applyNumberFormat="1" applyFont="1" applyFill="1" applyBorder="1" applyAlignment="1">
      <alignment horizontal="center" vertical="center"/>
    </xf>
    <xf numFmtId="168" fontId="25" fillId="4" borderId="40" xfId="0" applyNumberFormat="1" applyFont="1" applyFill="1" applyBorder="1" applyAlignment="1">
      <alignment vertical="center"/>
    </xf>
    <xf numFmtId="168" fontId="16" fillId="5" borderId="80" xfId="0" applyNumberFormat="1" applyFont="1" applyFill="1" applyBorder="1" applyAlignment="1">
      <alignment vertical="center"/>
    </xf>
    <xf numFmtId="9" fontId="16" fillId="5" borderId="81" xfId="2" applyFont="1" applyFill="1" applyBorder="1" applyAlignment="1">
      <alignment horizontal="center" vertical="center"/>
    </xf>
    <xf numFmtId="169" fontId="16" fillId="5" borderId="81" xfId="0" applyNumberFormat="1" applyFont="1" applyFill="1" applyBorder="1" applyAlignment="1">
      <alignment horizontal="center" vertical="center"/>
    </xf>
    <xf numFmtId="168" fontId="16" fillId="0" borderId="82" xfId="0" applyNumberFormat="1" applyFont="1" applyBorder="1" applyAlignment="1">
      <alignment horizontal="center" vertical="center"/>
    </xf>
    <xf numFmtId="168" fontId="16" fillId="5" borderId="85" xfId="0" applyNumberFormat="1" applyFont="1" applyFill="1" applyBorder="1" applyAlignment="1">
      <alignment vertical="center"/>
    </xf>
    <xf numFmtId="9" fontId="16" fillId="5" borderId="86" xfId="2" applyFont="1" applyFill="1" applyBorder="1" applyAlignment="1">
      <alignment horizontal="center" vertical="center"/>
    </xf>
    <xf numFmtId="169" fontId="16" fillId="5" borderId="86" xfId="0" applyNumberFormat="1" applyFont="1" applyFill="1" applyBorder="1" applyAlignment="1">
      <alignment horizontal="center" vertical="center"/>
    </xf>
    <xf numFmtId="168" fontId="16" fillId="0" borderId="87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9" fontId="14" fillId="0" borderId="0" xfId="2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164" fontId="14" fillId="0" borderId="0" xfId="3" applyNumberFormat="1" applyFont="1" applyAlignment="1">
      <alignment vertical="center"/>
    </xf>
    <xf numFmtId="0" fontId="17" fillId="5" borderId="90" xfId="0" applyFont="1" applyFill="1" applyBorder="1" applyAlignment="1">
      <alignment horizontal="center" vertical="center"/>
    </xf>
    <xf numFmtId="0" fontId="17" fillId="5" borderId="91" xfId="0" applyFont="1" applyFill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9" fontId="17" fillId="0" borderId="99" xfId="2" applyFont="1" applyFill="1" applyBorder="1" applyAlignment="1">
      <alignment horizontal="center" vertical="center"/>
    </xf>
    <xf numFmtId="172" fontId="17" fillId="5" borderId="100" xfId="2" applyNumberFormat="1" applyFont="1" applyFill="1" applyBorder="1" applyAlignment="1">
      <alignment horizontal="center" vertical="center"/>
    </xf>
    <xf numFmtId="2" fontId="16" fillId="0" borderId="100" xfId="3" applyNumberFormat="1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173" fontId="17" fillId="0" borderId="0" xfId="2" applyNumberFormat="1" applyFont="1" applyAlignment="1">
      <alignment horizontal="center" vertical="center"/>
    </xf>
    <xf numFmtId="174" fontId="17" fillId="0" borderId="85" xfId="0" applyNumberFormat="1" applyFont="1" applyBorder="1" applyAlignment="1">
      <alignment horizontal="center" vertical="center"/>
    </xf>
    <xf numFmtId="172" fontId="17" fillId="5" borderId="87" xfId="2" applyNumberFormat="1" applyFont="1" applyFill="1" applyBorder="1" applyAlignment="1">
      <alignment horizontal="center" vertical="center"/>
    </xf>
    <xf numFmtId="174" fontId="16" fillId="0" borderId="87" xfId="0" applyNumberFormat="1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17" fillId="5" borderId="102" xfId="0" applyFont="1" applyFill="1" applyBorder="1" applyAlignment="1">
      <alignment horizontal="center" vertical="center"/>
    </xf>
    <xf numFmtId="169" fontId="16" fillId="0" borderId="87" xfId="0" applyNumberFormat="1" applyFont="1" applyBorder="1" applyAlignment="1">
      <alignment horizontal="center" vertical="center"/>
    </xf>
    <xf numFmtId="0" fontId="8" fillId="11" borderId="2" xfId="0" applyFont="1" applyFill="1" applyBorder="1" applyAlignment="1">
      <alignment vertical="center"/>
    </xf>
    <xf numFmtId="0" fontId="8" fillId="11" borderId="3" xfId="0" applyFont="1" applyFill="1" applyBorder="1" applyAlignment="1">
      <alignment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vertical="center"/>
    </xf>
    <xf numFmtId="0" fontId="8" fillId="11" borderId="5" xfId="0" applyFont="1" applyFill="1" applyBorder="1" applyAlignment="1">
      <alignment vertical="center"/>
    </xf>
    <xf numFmtId="0" fontId="8" fillId="11" borderId="7" xfId="0" applyFont="1" applyFill="1" applyBorder="1" applyAlignment="1">
      <alignment vertical="center"/>
    </xf>
    <xf numFmtId="0" fontId="8" fillId="11" borderId="0" xfId="0" applyFont="1" applyFill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0" fontId="8" fillId="11" borderId="9" xfId="0" applyFont="1" applyFill="1" applyBorder="1" applyAlignment="1">
      <alignment vertical="center"/>
    </xf>
    <xf numFmtId="0" fontId="11" fillId="11" borderId="18" xfId="0" applyFont="1" applyFill="1" applyBorder="1" applyAlignment="1">
      <alignment vertical="center"/>
    </xf>
    <xf numFmtId="164" fontId="11" fillId="11" borderId="18" xfId="1" applyNumberFormat="1" applyFont="1" applyFill="1" applyBorder="1" applyAlignment="1">
      <alignment horizontal="center" vertical="center"/>
    </xf>
    <xf numFmtId="9" fontId="11" fillId="11" borderId="18" xfId="2" applyFont="1" applyFill="1" applyBorder="1" applyAlignment="1">
      <alignment horizontal="center" vertical="center"/>
    </xf>
    <xf numFmtId="0" fontId="11" fillId="11" borderId="0" xfId="0" applyFont="1" applyFill="1" applyAlignment="1">
      <alignment vertical="center"/>
    </xf>
    <xf numFmtId="164" fontId="11" fillId="11" borderId="0" xfId="1" applyNumberFormat="1" applyFont="1" applyFill="1" applyBorder="1" applyAlignment="1">
      <alignment horizontal="center" vertical="center"/>
    </xf>
    <xf numFmtId="9" fontId="11" fillId="11" borderId="0" xfId="2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vertical="center"/>
    </xf>
    <xf numFmtId="0" fontId="8" fillId="11" borderId="8" xfId="0" applyFont="1" applyFill="1" applyBorder="1" applyAlignment="1">
      <alignment horizontal="center" vertical="center"/>
    </xf>
    <xf numFmtId="164" fontId="8" fillId="11" borderId="8" xfId="1" applyNumberFormat="1" applyFont="1" applyFill="1" applyBorder="1" applyAlignment="1">
      <alignment vertical="center"/>
    </xf>
    <xf numFmtId="166" fontId="11" fillId="11" borderId="0" xfId="1" applyNumberFormat="1" applyFont="1" applyFill="1" applyBorder="1" applyAlignment="1">
      <alignment horizontal="center" vertical="center"/>
    </xf>
    <xf numFmtId="165" fontId="8" fillId="11" borderId="0" xfId="2" applyNumberFormat="1" applyFont="1" applyFill="1" applyBorder="1" applyAlignment="1">
      <alignment horizontal="center" vertical="center"/>
    </xf>
    <xf numFmtId="166" fontId="11" fillId="11" borderId="18" xfId="1" applyNumberFormat="1" applyFont="1" applyFill="1" applyBorder="1" applyAlignment="1">
      <alignment horizontal="center" vertical="center"/>
    </xf>
    <xf numFmtId="164" fontId="8" fillId="11" borderId="3" xfId="1" applyNumberFormat="1" applyFont="1" applyFill="1" applyBorder="1" applyAlignment="1">
      <alignment vertical="center"/>
    </xf>
    <xf numFmtId="0" fontId="7" fillId="11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 indent="2"/>
    </xf>
    <xf numFmtId="0" fontId="8" fillId="11" borderId="0" xfId="0" applyFont="1" applyFill="1" applyAlignment="1">
      <alignment horizontal="left" vertical="center" indent="1"/>
    </xf>
    <xf numFmtId="0" fontId="11" fillId="11" borderId="15" xfId="0" applyFont="1" applyFill="1" applyBorder="1" applyAlignment="1">
      <alignment vertical="center"/>
    </xf>
    <xf numFmtId="164" fontId="8" fillId="11" borderId="0" xfId="1" applyNumberFormat="1" applyFont="1" applyFill="1" applyBorder="1" applyAlignment="1">
      <alignment vertical="center"/>
    </xf>
    <xf numFmtId="164" fontId="5" fillId="11" borderId="0" xfId="1" applyNumberFormat="1" applyFont="1" applyFill="1" applyBorder="1" applyAlignment="1">
      <alignment horizontal="center" vertical="center"/>
    </xf>
    <xf numFmtId="166" fontId="8" fillId="11" borderId="0" xfId="1" applyNumberFormat="1" applyFont="1" applyFill="1" applyBorder="1" applyAlignment="1">
      <alignment vertical="center"/>
    </xf>
    <xf numFmtId="166" fontId="10" fillId="11" borderId="0" xfId="1" applyNumberFormat="1" applyFont="1" applyFill="1" applyBorder="1" applyAlignment="1">
      <alignment horizontal="center" vertical="center"/>
    </xf>
    <xf numFmtId="164" fontId="11" fillId="11" borderId="15" xfId="1" applyNumberFormat="1" applyFont="1" applyFill="1" applyBorder="1" applyAlignment="1">
      <alignment horizontal="center" vertical="center"/>
    </xf>
    <xf numFmtId="166" fontId="11" fillId="11" borderId="15" xfId="1" applyNumberFormat="1" applyFont="1" applyFill="1" applyBorder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165" fontId="5" fillId="11" borderId="0" xfId="2" applyNumberFormat="1" applyFont="1" applyFill="1" applyBorder="1" applyAlignment="1">
      <alignment horizontal="center" vertical="center"/>
    </xf>
    <xf numFmtId="165" fontId="9" fillId="11" borderId="0" xfId="2" applyNumberFormat="1" applyFont="1" applyFill="1" applyBorder="1" applyAlignment="1">
      <alignment horizontal="center" vertical="center"/>
    </xf>
    <xf numFmtId="9" fontId="11" fillId="11" borderId="15" xfId="2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18" xfId="0" applyFont="1" applyFill="1" applyBorder="1" applyAlignment="1">
      <alignment vertical="center"/>
    </xf>
    <xf numFmtId="0" fontId="5" fillId="11" borderId="18" xfId="0" applyFont="1" applyFill="1" applyBorder="1" applyAlignment="1">
      <alignment horizontal="center" vertical="center"/>
    </xf>
    <xf numFmtId="164" fontId="5" fillId="11" borderId="18" xfId="1" applyNumberFormat="1" applyFont="1" applyFill="1" applyBorder="1" applyAlignment="1">
      <alignment vertical="center"/>
    </xf>
    <xf numFmtId="164" fontId="8" fillId="11" borderId="0" xfId="1" applyNumberFormat="1" applyFont="1" applyFill="1" applyBorder="1" applyAlignment="1">
      <alignment horizontal="center" vertical="center"/>
    </xf>
    <xf numFmtId="9" fontId="27" fillId="3" borderId="16" xfId="2" applyFont="1" applyFill="1" applyBorder="1" applyAlignment="1">
      <alignment horizontal="center" vertical="center"/>
    </xf>
    <xf numFmtId="179" fontId="2" fillId="14" borderId="0" xfId="1" applyNumberFormat="1" applyFont="1" applyFill="1"/>
    <xf numFmtId="179" fontId="2" fillId="14" borderId="0" xfId="1" applyNumberFormat="1" applyFont="1" applyFill="1" applyAlignment="1">
      <alignment horizontal="center"/>
    </xf>
    <xf numFmtId="179" fontId="2" fillId="13" borderId="0" xfId="1" applyNumberFormat="1" applyFont="1" applyFill="1" applyAlignment="1">
      <alignment horizontal="center"/>
    </xf>
    <xf numFmtId="179" fontId="3" fillId="2" borderId="0" xfId="1" applyNumberFormat="1" applyFont="1" applyFill="1" applyAlignment="1">
      <alignment horizontal="center"/>
    </xf>
    <xf numFmtId="179" fontId="0" fillId="0" borderId="0" xfId="1" applyNumberFormat="1" applyFont="1"/>
    <xf numFmtId="179" fontId="8" fillId="0" borderId="0" xfId="1" applyNumberFormat="1" applyFont="1"/>
    <xf numFmtId="179" fontId="8" fillId="0" borderId="105" xfId="1" applyNumberFormat="1" applyFont="1" applyBorder="1"/>
    <xf numFmtId="179" fontId="8" fillId="0" borderId="107" xfId="1" applyNumberFormat="1" applyFont="1" applyBorder="1"/>
    <xf numFmtId="179" fontId="4" fillId="14" borderId="0" xfId="1" applyNumberFormat="1" applyFont="1" applyFill="1"/>
    <xf numFmtId="179" fontId="5" fillId="0" borderId="0" xfId="1" applyNumberFormat="1" applyFont="1"/>
    <xf numFmtId="179" fontId="5" fillId="0" borderId="105" xfId="1" applyNumberFormat="1" applyFont="1" applyBorder="1"/>
    <xf numFmtId="179" fontId="9" fillId="0" borderId="0" xfId="1" applyNumberFormat="1" applyFont="1"/>
    <xf numFmtId="179" fontId="12" fillId="0" borderId="0" xfId="1" applyNumberFormat="1" applyFont="1" applyAlignment="1">
      <alignment horizontal="left" indent="2"/>
    </xf>
    <xf numFmtId="179" fontId="8" fillId="0" borderId="0" xfId="1" applyNumberFormat="1" applyFont="1" applyAlignment="1">
      <alignment horizontal="left" indent="2"/>
    </xf>
    <xf numFmtId="179" fontId="5" fillId="0" borderId="12" xfId="1" applyNumberFormat="1" applyFont="1" applyBorder="1"/>
    <xf numFmtId="179" fontId="8" fillId="0" borderId="12" xfId="1" applyNumberFormat="1" applyFont="1" applyBorder="1"/>
    <xf numFmtId="179" fontId="5" fillId="0" borderId="110" xfId="1" applyNumberFormat="1" applyFont="1" applyBorder="1"/>
    <xf numFmtId="179" fontId="5" fillId="0" borderId="109" xfId="1" applyNumberFormat="1" applyFont="1" applyBorder="1"/>
    <xf numFmtId="179" fontId="3" fillId="14" borderId="0" xfId="1" applyNumberFormat="1" applyFont="1" applyFill="1" applyAlignment="1">
      <alignment horizontal="center"/>
    </xf>
    <xf numFmtId="179" fontId="8" fillId="12" borderId="105" xfId="1" applyNumberFormat="1" applyFont="1" applyFill="1" applyBorder="1"/>
    <xf numFmtId="179" fontId="8" fillId="12" borderId="107" xfId="1" applyNumberFormat="1" applyFont="1" applyFill="1" applyBorder="1"/>
    <xf numFmtId="179" fontId="8" fillId="12" borderId="0" xfId="1" applyNumberFormat="1" applyFont="1" applyFill="1"/>
    <xf numFmtId="179" fontId="5" fillId="0" borderId="15" xfId="1" applyNumberFormat="1" applyFont="1" applyBorder="1"/>
    <xf numFmtId="179" fontId="5" fillId="0" borderId="111" xfId="1" applyNumberFormat="1" applyFont="1" applyBorder="1"/>
    <xf numFmtId="179" fontId="5" fillId="0" borderId="112" xfId="1" applyNumberFormat="1" applyFont="1" applyBorder="1"/>
    <xf numFmtId="179" fontId="27" fillId="3" borderId="0" xfId="1" applyNumberFormat="1" applyFont="1" applyFill="1"/>
    <xf numFmtId="179" fontId="27" fillId="3" borderId="105" xfId="1" applyNumberFormat="1" applyFont="1" applyFill="1" applyBorder="1"/>
    <xf numFmtId="179" fontId="27" fillId="3" borderId="107" xfId="1" applyNumberFormat="1" applyFont="1" applyFill="1" applyBorder="1"/>
    <xf numFmtId="179" fontId="9" fillId="3" borderId="0" xfId="1" applyNumberFormat="1" applyFont="1" applyFill="1"/>
    <xf numFmtId="179" fontId="9" fillId="3" borderId="105" xfId="1" applyNumberFormat="1" applyFont="1" applyFill="1" applyBorder="1"/>
    <xf numFmtId="179" fontId="9" fillId="3" borderId="107" xfId="1" applyNumberFormat="1" applyFont="1" applyFill="1" applyBorder="1"/>
    <xf numFmtId="179" fontId="28" fillId="3" borderId="0" xfId="1" applyNumberFormat="1" applyFont="1" applyFill="1"/>
    <xf numFmtId="179" fontId="12" fillId="0" borderId="105" xfId="1" applyNumberFormat="1" applyFont="1" applyBorder="1"/>
    <xf numFmtId="179" fontId="12" fillId="0" borderId="107" xfId="1" applyNumberFormat="1" applyFont="1" applyBorder="1"/>
    <xf numFmtId="179" fontId="12" fillId="0" borderId="0" xfId="1" applyNumberFormat="1" applyFont="1"/>
    <xf numFmtId="179" fontId="28" fillId="3" borderId="0" xfId="1" applyNumberFormat="1" applyFont="1" applyFill="1" applyAlignment="1">
      <alignment horizontal="right"/>
    </xf>
    <xf numFmtId="179" fontId="12" fillId="0" borderId="105" xfId="1" applyNumberFormat="1" applyFont="1" applyBorder="1" applyAlignment="1">
      <alignment horizontal="right"/>
    </xf>
    <xf numFmtId="179" fontId="12" fillId="0" borderId="107" xfId="1" applyNumberFormat="1" applyFont="1" applyBorder="1" applyAlignment="1">
      <alignment horizontal="right"/>
    </xf>
    <xf numFmtId="179" fontId="12" fillId="0" borderId="0" xfId="1" applyNumberFormat="1" applyFont="1" applyAlignment="1">
      <alignment horizontal="right"/>
    </xf>
    <xf numFmtId="177" fontId="12" fillId="0" borderId="107" xfId="1" applyFont="1" applyBorder="1" applyAlignment="1">
      <alignment horizontal="right"/>
    </xf>
    <xf numFmtId="177" fontId="12" fillId="0" borderId="0" xfId="1" applyFont="1" applyAlignment="1">
      <alignment horizontal="right"/>
    </xf>
    <xf numFmtId="178" fontId="28" fillId="3" borderId="105" xfId="1" applyNumberFormat="1" applyFont="1" applyFill="1" applyBorder="1"/>
    <xf numFmtId="164" fontId="5" fillId="11" borderId="0" xfId="1" applyNumberFormat="1" applyFont="1" applyFill="1" applyBorder="1" applyAlignment="1">
      <alignment vertical="center"/>
    </xf>
    <xf numFmtId="179" fontId="29" fillId="3" borderId="0" xfId="1" applyNumberFormat="1" applyFont="1" applyFill="1" applyAlignment="1">
      <alignment horizontal="right"/>
    </xf>
    <xf numFmtId="179" fontId="28" fillId="3" borderId="105" xfId="1" applyNumberFormat="1" applyFont="1" applyFill="1" applyBorder="1" applyAlignment="1">
      <alignment horizontal="right"/>
    </xf>
    <xf numFmtId="179" fontId="28" fillId="3" borderId="107" xfId="1" applyNumberFormat="1" applyFont="1" applyFill="1" applyBorder="1" applyAlignment="1">
      <alignment horizontal="right"/>
    </xf>
    <xf numFmtId="179" fontId="30" fillId="0" borderId="0" xfId="1" applyNumberFormat="1" applyFont="1" applyAlignment="1">
      <alignment horizontal="center"/>
    </xf>
    <xf numFmtId="179" fontId="8" fillId="0" borderId="0" xfId="1" applyNumberFormat="1" applyFont="1" applyAlignment="1">
      <alignment horizontal="center" vertical="center"/>
    </xf>
    <xf numFmtId="177" fontId="12" fillId="0" borderId="0" xfId="1" applyFont="1"/>
    <xf numFmtId="177" fontId="28" fillId="3" borderId="0" xfId="1" applyFont="1" applyFill="1"/>
    <xf numFmtId="179" fontId="9" fillId="3" borderId="0" xfId="1" applyNumberFormat="1" applyFont="1" applyFill="1" applyAlignment="1">
      <alignment horizontal="right"/>
    </xf>
    <xf numFmtId="165" fontId="9" fillId="3" borderId="0" xfId="2" applyNumberFormat="1" applyFont="1" applyFill="1" applyAlignment="1">
      <alignment horizontal="right"/>
    </xf>
    <xf numFmtId="9" fontId="9" fillId="3" borderId="0" xfId="2" applyFont="1" applyFill="1" applyAlignment="1">
      <alignment horizontal="right"/>
    </xf>
    <xf numFmtId="9" fontId="8" fillId="0" borderId="105" xfId="2" applyFont="1" applyBorder="1"/>
    <xf numFmtId="9" fontId="8" fillId="0" borderId="107" xfId="2" applyFont="1" applyBorder="1"/>
    <xf numFmtId="9" fontId="8" fillId="0" borderId="0" xfId="2" applyFont="1"/>
    <xf numFmtId="179" fontId="5" fillId="0" borderId="107" xfId="1" applyNumberFormat="1" applyFont="1" applyBorder="1"/>
    <xf numFmtId="179" fontId="31" fillId="0" borderId="105" xfId="1" applyNumberFormat="1" applyFont="1" applyBorder="1"/>
    <xf numFmtId="179" fontId="31" fillId="0" borderId="107" xfId="1" applyNumberFormat="1" applyFont="1" applyBorder="1"/>
    <xf numFmtId="179" fontId="31" fillId="0" borderId="0" xfId="1" applyNumberFormat="1" applyFont="1"/>
    <xf numFmtId="179" fontId="11" fillId="0" borderId="15" xfId="1" applyNumberFormat="1" applyFont="1" applyBorder="1"/>
    <xf numFmtId="179" fontId="11" fillId="0" borderId="111" xfId="1" applyNumberFormat="1" applyFont="1" applyBorder="1"/>
    <xf numFmtId="179" fontId="11" fillId="0" borderId="112" xfId="1" applyNumberFormat="1" applyFont="1" applyBorder="1"/>
    <xf numFmtId="179" fontId="8" fillId="0" borderId="110" xfId="1" applyNumberFormat="1" applyFont="1" applyBorder="1"/>
    <xf numFmtId="179" fontId="8" fillId="0" borderId="109" xfId="1" applyNumberFormat="1" applyFont="1" applyBorder="1"/>
    <xf numFmtId="165" fontId="8" fillId="0" borderId="0" xfId="2" applyNumberFormat="1" applyFont="1"/>
    <xf numFmtId="165" fontId="8" fillId="0" borderId="0" xfId="1" applyNumberFormat="1" applyFont="1"/>
    <xf numFmtId="179" fontId="8" fillId="0" borderId="106" xfId="1" applyNumberFormat="1" applyFont="1" applyBorder="1"/>
    <xf numFmtId="179" fontId="5" fillId="0" borderId="106" xfId="1" applyNumberFormat="1" applyFont="1" applyBorder="1"/>
    <xf numFmtId="179" fontId="5" fillId="0" borderId="113" xfId="1" applyNumberFormat="1" applyFont="1" applyBorder="1"/>
    <xf numFmtId="179" fontId="5" fillId="0" borderId="114" xfId="1" applyNumberFormat="1" applyFont="1" applyBorder="1"/>
    <xf numFmtId="179" fontId="8" fillId="0" borderId="0" xfId="1" applyNumberFormat="1" applyFont="1" applyBorder="1"/>
    <xf numFmtId="165" fontId="8" fillId="0" borderId="108" xfId="2" applyNumberFormat="1" applyFont="1" applyBorder="1"/>
    <xf numFmtId="9" fontId="8" fillId="0" borderId="37" xfId="2" applyFont="1" applyBorder="1"/>
    <xf numFmtId="165" fontId="8" fillId="0" borderId="115" xfId="2" applyNumberFormat="1" applyFont="1" applyBorder="1"/>
    <xf numFmtId="0" fontId="8" fillId="15" borderId="0" xfId="0" applyFont="1" applyFill="1" applyAlignment="1">
      <alignment horizontal="center" vertical="center"/>
    </xf>
    <xf numFmtId="164" fontId="8" fillId="15" borderId="0" xfId="1" applyNumberFormat="1" applyFont="1" applyFill="1" applyBorder="1" applyAlignment="1">
      <alignment vertical="center"/>
    </xf>
    <xf numFmtId="164" fontId="8" fillId="15" borderId="0" xfId="1" applyNumberFormat="1" applyFont="1" applyFill="1" applyBorder="1" applyAlignment="1">
      <alignment horizontal="center" vertical="center"/>
    </xf>
    <xf numFmtId="0" fontId="8" fillId="15" borderId="0" xfId="0" applyFont="1" applyFill="1" applyAlignment="1">
      <alignment vertical="center"/>
    </xf>
    <xf numFmtId="164" fontId="5" fillId="15" borderId="0" xfId="1" applyNumberFormat="1" applyFont="1" applyFill="1" applyBorder="1" applyAlignment="1">
      <alignment horizontal="center" vertical="center"/>
    </xf>
    <xf numFmtId="0" fontId="5" fillId="15" borderId="0" xfId="0" applyFont="1" applyFill="1" applyAlignment="1">
      <alignment vertical="center"/>
    </xf>
    <xf numFmtId="0" fontId="8" fillId="15" borderId="116" xfId="0" applyFont="1" applyFill="1" applyBorder="1" applyAlignment="1">
      <alignment vertical="center"/>
    </xf>
    <xf numFmtId="0" fontId="8" fillId="15" borderId="117" xfId="0" applyFont="1" applyFill="1" applyBorder="1" applyAlignment="1">
      <alignment vertical="center"/>
    </xf>
    <xf numFmtId="164" fontId="8" fillId="15" borderId="117" xfId="1" applyNumberFormat="1" applyFont="1" applyFill="1" applyBorder="1" applyAlignment="1">
      <alignment vertical="center"/>
    </xf>
    <xf numFmtId="0" fontId="8" fillId="15" borderId="118" xfId="0" applyFont="1" applyFill="1" applyBorder="1" applyAlignment="1">
      <alignment vertical="center"/>
    </xf>
    <xf numFmtId="0" fontId="8" fillId="15" borderId="119" xfId="0" applyFont="1" applyFill="1" applyBorder="1" applyAlignment="1">
      <alignment vertical="center"/>
    </xf>
    <xf numFmtId="0" fontId="8" fillId="15" borderId="120" xfId="0" applyFont="1" applyFill="1" applyBorder="1" applyAlignment="1">
      <alignment vertical="center"/>
    </xf>
    <xf numFmtId="0" fontId="8" fillId="15" borderId="121" xfId="0" applyFont="1" applyFill="1" applyBorder="1" applyAlignment="1">
      <alignment vertical="center"/>
    </xf>
    <xf numFmtId="0" fontId="8" fillId="15" borderId="122" xfId="0" applyFont="1" applyFill="1" applyBorder="1" applyAlignment="1">
      <alignment vertical="center"/>
    </xf>
    <xf numFmtId="164" fontId="8" fillId="15" borderId="122" xfId="1" applyNumberFormat="1" applyFont="1" applyFill="1" applyBorder="1" applyAlignment="1">
      <alignment vertical="center"/>
    </xf>
    <xf numFmtId="0" fontId="8" fillId="15" borderId="123" xfId="0" applyFont="1" applyFill="1" applyBorder="1" applyAlignment="1">
      <alignment vertical="center"/>
    </xf>
    <xf numFmtId="9" fontId="13" fillId="15" borderId="0" xfId="0" applyNumberFormat="1" applyFont="1" applyFill="1" applyAlignment="1">
      <alignment horizontal="center" vertical="center"/>
    </xf>
    <xf numFmtId="165" fontId="13" fillId="15" borderId="0" xfId="0" applyNumberFormat="1" applyFont="1" applyFill="1" applyAlignment="1">
      <alignment horizontal="center" vertical="center"/>
    </xf>
    <xf numFmtId="165" fontId="13" fillId="15" borderId="0" xfId="2" applyNumberFormat="1" applyFont="1" applyFill="1" applyBorder="1" applyAlignment="1">
      <alignment horizontal="center" vertical="center"/>
    </xf>
    <xf numFmtId="177" fontId="8" fillId="0" borderId="106" xfId="1" applyFont="1" applyBorder="1"/>
    <xf numFmtId="9" fontId="8" fillId="0" borderId="0" xfId="2" applyFont="1" applyFill="1"/>
    <xf numFmtId="179" fontId="5" fillId="0" borderId="10" xfId="1" applyNumberFormat="1" applyFont="1" applyBorder="1"/>
    <xf numFmtId="179" fontId="5" fillId="0" borderId="125" xfId="1" applyNumberFormat="1" applyFont="1" applyBorder="1"/>
    <xf numFmtId="179" fontId="5" fillId="0" borderId="124" xfId="1" applyNumberFormat="1" applyFont="1" applyBorder="1"/>
    <xf numFmtId="179" fontId="5" fillId="0" borderId="126" xfId="1" applyNumberFormat="1" applyFont="1" applyBorder="1"/>
    <xf numFmtId="179" fontId="8" fillId="0" borderId="10" xfId="1" applyNumberFormat="1" applyFont="1" applyBorder="1"/>
    <xf numFmtId="179" fontId="8" fillId="0" borderId="125" xfId="1" applyNumberFormat="1" applyFont="1" applyBorder="1"/>
    <xf numFmtId="179" fontId="8" fillId="0" borderId="124" xfId="1" applyNumberFormat="1" applyFont="1" applyBorder="1"/>
    <xf numFmtId="179" fontId="8" fillId="0" borderId="126" xfId="1" applyNumberFormat="1" applyFont="1" applyBorder="1"/>
    <xf numFmtId="179" fontId="5" fillId="2" borderId="27" xfId="1" applyNumberFormat="1" applyFont="1" applyFill="1" applyBorder="1"/>
    <xf numFmtId="179" fontId="5" fillId="2" borderId="49" xfId="1" applyNumberFormat="1" applyFont="1" applyFill="1" applyBorder="1"/>
    <xf numFmtId="179" fontId="5" fillId="2" borderId="16" xfId="1" applyNumberFormat="1" applyFont="1" applyFill="1" applyBorder="1"/>
    <xf numFmtId="179" fontId="12" fillId="0" borderId="0" xfId="1" applyNumberFormat="1" applyFont="1" applyAlignment="1">
      <alignment horizontal="left" indent="5"/>
    </xf>
    <xf numFmtId="2" fontId="8" fillId="0" borderId="0" xfId="0" applyNumberFormat="1" applyFont="1" applyAlignment="1">
      <alignment vertical="center"/>
    </xf>
    <xf numFmtId="0" fontId="2" fillId="16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10" fillId="11" borderId="17" xfId="1" applyNumberFormat="1" applyFont="1" applyFill="1" applyBorder="1" applyAlignment="1">
      <alignment horizontal="center" vertical="center"/>
    </xf>
    <xf numFmtId="165" fontId="9" fillId="3" borderId="11" xfId="2" applyNumberFormat="1" applyFont="1" applyFill="1" applyBorder="1" applyAlignment="1">
      <alignment horizontal="center" vertical="center"/>
    </xf>
    <xf numFmtId="165" fontId="9" fillId="3" borderId="13" xfId="2" applyNumberFormat="1" applyFont="1" applyFill="1" applyBorder="1" applyAlignment="1">
      <alignment horizontal="center" vertical="center"/>
    </xf>
    <xf numFmtId="165" fontId="9" fillId="3" borderId="14" xfId="2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168" fontId="15" fillId="4" borderId="20" xfId="0" applyNumberFormat="1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16" xfId="3" applyNumberFormat="1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164" fontId="16" fillId="0" borderId="16" xfId="3" applyNumberFormat="1" applyFont="1" applyFill="1" applyBorder="1" applyAlignment="1">
      <alignment horizontal="center" vertical="center"/>
    </xf>
    <xf numFmtId="168" fontId="16" fillId="0" borderId="30" xfId="0" applyNumberFormat="1" applyFont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0" fillId="7" borderId="36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/>
    </xf>
    <xf numFmtId="165" fontId="21" fillId="0" borderId="49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 vertical="center"/>
    </xf>
    <xf numFmtId="168" fontId="21" fillId="0" borderId="48" xfId="0" applyNumberFormat="1" applyFont="1" applyBorder="1" applyAlignment="1">
      <alignment horizontal="center" vertical="center"/>
    </xf>
    <xf numFmtId="168" fontId="21" fillId="0" borderId="46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9" borderId="44" xfId="0" applyFont="1" applyFill="1" applyBorder="1" applyAlignment="1">
      <alignment horizontal="left" vertical="center"/>
    </xf>
    <xf numFmtId="0" fontId="15" fillId="4" borderId="43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3" fillId="0" borderId="55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16" fillId="0" borderId="45" xfId="0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16" fillId="0" borderId="71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21" fillId="0" borderId="70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0" fontId="21" fillId="9" borderId="47" xfId="0" applyFont="1" applyFill="1" applyBorder="1" applyAlignment="1">
      <alignment horizontal="left" vertical="center"/>
    </xf>
    <xf numFmtId="0" fontId="21" fillId="9" borderId="66" xfId="0" applyFont="1" applyFill="1" applyBorder="1" applyAlignment="1">
      <alignment horizontal="left" vertical="center"/>
    </xf>
    <xf numFmtId="0" fontId="16" fillId="0" borderId="89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5" fillId="4" borderId="79" xfId="0" applyFont="1" applyFill="1" applyBorder="1" applyAlignment="1">
      <alignment horizontal="center" vertical="center"/>
    </xf>
    <xf numFmtId="0" fontId="15" fillId="10" borderId="77" xfId="0" applyFont="1" applyFill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23" fillId="0" borderId="76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15" fillId="10" borderId="98" xfId="0" applyFont="1" applyFill="1" applyBorder="1" applyAlignment="1">
      <alignment horizontal="center" vertical="center"/>
    </xf>
    <xf numFmtId="0" fontId="15" fillId="10" borderId="97" xfId="0" applyFont="1" applyFill="1" applyBorder="1" applyAlignment="1">
      <alignment horizontal="center" vertical="center"/>
    </xf>
    <xf numFmtId="0" fontId="15" fillId="10" borderId="96" xfId="0" applyFont="1" applyFill="1" applyBorder="1" applyAlignment="1">
      <alignment horizontal="center" vertical="center"/>
    </xf>
    <xf numFmtId="0" fontId="15" fillId="10" borderId="95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5" fontId="16" fillId="0" borderId="16" xfId="0" applyNumberFormat="1" applyFont="1" applyBorder="1" applyAlignment="1">
      <alignment horizontal="center" vertical="center"/>
    </xf>
    <xf numFmtId="175" fontId="16" fillId="0" borderId="20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 wrapText="1"/>
    </xf>
    <xf numFmtId="0" fontId="26" fillId="0" borderId="103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101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</cellXfs>
  <cellStyles count="4">
    <cellStyle name="Comma" xfId="1" builtinId="3" customBuiltin="1"/>
    <cellStyle name="Comma 2" xfId="3" xr:uid="{0792F648-D2C7-4194-9036-21089F984031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4CD01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fareeda\D\Documents%20and%20Settings\dc2\Desktop\Documents%20and%20Settings\mnaeem\Local%20Settings\Temporary%20Internet%20Files\Content.Outlook\QPBCIR42\20120122%20-%20IPC%20Submittal%20Status%20Up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Rapor%2008%20-%20Agusto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Castillo%20Grand\Castillo%20Grand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s://innovativeinvestment-my.sharepoint.com/Danny/COMMISSARY/Nuevo-Kherwin/Kherwin%20Forder/Kherwin/Kherwin%20Forder/P038/Current%20BOQ/Final%20BOQ%20(Trade)/2000/2049%20Generator%20Bldg%20at%20Batha%20Borders/BANK4/Enquiries/BANK/SUPPLIER.XLS?D01AA916" TargetMode="External"/><Relationship Id="rId1" Type="http://schemas.openxmlformats.org/officeDocument/2006/relationships/externalLinkPath" Target="file:///\\D01AA916\SUPPLI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fareeda\D\financial%20statement%20report%20as%20of%2027-10-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fareeda\D\My%20Documents\Ewaan\Master%20Program\MS20101010\20100822-Villas%20Schedu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01%20-%20Rapor%20-%20Oca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novativeinvestment-my.sharepoint.com/W-HATEM/Project%20Control/Fareeda/Reports%20&amp;%20Presentations/Weekly%20Report/150110/Z2/Progress%20Layouts-Z2-15011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novativeinvestment-my.sharepoint.com/Spa/cost_share$/B7-Alam%20Sons/B7-Alam%20S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I01-Bassami Group"/>
      <sheetName val="MZECH-Master Plan"/>
      <sheetName val="MZECH-Villas"/>
      <sheetName val="CNI03- New Job"/>
      <sheetName val="CNF02-STP"/>
      <sheetName val="DC04-ID Consul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dt"/>
      <sheetName val="Kapak"/>
      <sheetName val="Rapor Kapsamı"/>
      <sheetName val="PM Raporu"/>
      <sheetName val="Proje Bilgi"/>
      <sheetName val="D Hak.Rapor (TL)"/>
      <sheetName val="D Hak.Rapor (DM)"/>
      <sheetName val="KÂRLILIK"/>
      <sheetName val="NAKİT"/>
      <sheetName val=" N Finansal Eğri"/>
      <sheetName val="K Fiziksel Eğri"/>
      <sheetName val="B Alacak"/>
      <sheetName val="B Borc"/>
      <sheetName val="Ambar"/>
      <sheetName val="Perso Durum"/>
      <sheetName val="Perso Mali"/>
      <sheetName val="Proje Aylık Faaliyet Degerl."/>
      <sheetName val="Proje Prog Deg Özeti"/>
      <sheetName val="TL Faaliyet Deg"/>
      <sheetName val="DM Faaliyet Deg"/>
      <sheetName val="Degisiklik"/>
      <sheetName val="emniyet"/>
      <sheetName val="Data (MJA#60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ve Summary"/>
      <sheetName val="Estimate Summary (Hotel)"/>
      <sheetName val="Estimate Summary (Parking)"/>
      <sheetName val="Estimate Summary (Timeshares)"/>
      <sheetName val="Estimate Summary (Condominiums)"/>
      <sheetName val="Detail Summary"/>
      <sheetName val="Detail Guestrooms"/>
      <sheetName val="Detail Public Spaces"/>
      <sheetName val="Detail Service Areas"/>
      <sheetName val="Detail Parking Deck"/>
      <sheetName val="Detail Condo"/>
      <sheetName val="Detail Timeshare"/>
      <sheetName val="CONDO Summary"/>
      <sheetName val="CONDO 1"/>
      <sheetName val="CONDO 2"/>
      <sheetName val="CONDO 3"/>
      <sheetName val="CONDO 4"/>
      <sheetName val="CONDO 5"/>
      <sheetName val="PENTHOUSE"/>
      <sheetName val="CONDO CIRCULATION"/>
      <sheetName val="TIMESHARE Summary"/>
      <sheetName val="TIMESHARE UNIT"/>
      <sheetName val="TIMESHARE CIRCULATION"/>
      <sheetName val="GRSummary"/>
      <sheetName val="TYPICAL"/>
      <sheetName val="SUITE"/>
      <sheetName val="JUNIOR SUITE"/>
      <sheetName val="PRESIDENTIAL SUITE"/>
      <sheetName val="GUESTROOM CIRC."/>
      <sheetName val="PUBSummary"/>
      <sheetName val="PUBLIC AREAS"/>
      <sheetName val="FUNCTION AREAS"/>
      <sheetName val="PUBLIC FOOD &amp; BEVERAGE AREAS"/>
      <sheetName val="HEALTH CLUB"/>
      <sheetName val="EXECUTIVE OFFICES"/>
      <sheetName val="ADMIN OFFICES"/>
      <sheetName val="ACCT'G OFFICES"/>
      <sheetName val="RECEPT.-BACK OFFICES"/>
      <sheetName val="SERVSummary"/>
      <sheetName val="GUESTROOM SERV."/>
      <sheetName val="BOH FOOD &amp; BEVERAGE"/>
      <sheetName val="HOUSEKPG-LAUNDRY"/>
      <sheetName val="MAINTENANCE"/>
      <sheetName val="EMPLOYEE FACILITIES"/>
      <sheetName val="RECEIVING &amp; PURCHASING"/>
      <sheetName val="MECHANICAL"/>
      <sheetName val="SECURITY"/>
      <sheetName val="SERVICE AREA CIRCULATION"/>
      <sheetName val="Site Summary"/>
      <sheetName val="Site Detail"/>
      <sheetName val="Room Count"/>
      <sheetName val="Room Floor SF"/>
      <sheetName val="Gross SF"/>
      <sheetName val="Vertical Trans."/>
      <sheetName val="Ext_Construction Data (Monthly)"/>
      <sheetName val="Castillo Grand"/>
      <sheetName val="Estimate Summary (Condominiu_x0001_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R-2"/>
      <sheetName val="MDS Progress To Date"/>
      <sheetName val="WEEK91"/>
      <sheetName val="CF(Y) (2)"/>
      <sheetName val="Expenses (KK)"/>
      <sheetName val="Expenses (BS)"/>
      <sheetName val="Alsalam Scenario-1A-2 (DS)"/>
      <sheetName val="Up to July 2019"/>
      <sheetName val="Expenses (2)"/>
      <sheetName val="Expenses"/>
      <sheetName val="Shareholders withdrawal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Zone Wise"/>
      <sheetName val="Cash Flow 50 M 28-6-16"/>
      <sheetName val="Logistics"/>
      <sheetName val="Connection Fees"/>
      <sheetName val="Infrastructure"/>
      <sheetName val="PM&amp;Supervision"/>
      <sheetName val="Contract List Zone 1"/>
      <sheetName val="Contract List Zone 2"/>
      <sheetName val="CPI Calculations"/>
      <sheetName val="Sheet3"/>
      <sheetName val="Revised Cash Flow"/>
      <sheetName val="Contract List Zone 3"/>
      <sheetName val="Summary Financial"/>
      <sheetName val=" Operation Budget"/>
      <sheetName val="Approved Budget as of 13-12-15"/>
      <sheetName val="Cash Flow 50 M"/>
      <sheetName val="Cash-Flow -Distribution-Summary"/>
      <sheetName val="Rawoof Contract Log"/>
      <sheetName val="Contracts"/>
      <sheetName val="Contracts Lists"/>
      <sheetName val="Sheet4"/>
      <sheetName val="Summary-"/>
      <sheetName val="Zone Wise-"/>
      <sheetName val="Financial Statu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-100 Villas"/>
      <sheetName val="50-100 Villas (2)"/>
      <sheetName val="PV-Mon"/>
      <sheetName val="PV-Cum"/>
      <sheetName val="Sales Plan"/>
      <sheetName val="PV-Mon-Overall"/>
      <sheetName val="PV-Cum-Overall"/>
      <sheetName val="Cost Distubution"/>
      <sheetName val="Planned Progress - overall"/>
      <sheetName val="Planned Progress - Infra"/>
      <sheetName val="Planned Progress - Villas"/>
      <sheetName val="100 Villas 16 Pkgs cost loade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dt"/>
      <sheetName val="Kapak"/>
      <sheetName val="Rapor Kapsamı"/>
      <sheetName val="PM_Raporu"/>
      <sheetName val="Proje Hakkında Bilgiler"/>
      <sheetName val="Proje Aylık Faaliyet Degerl."/>
      <sheetName val="Proje Prog Deg Özeti"/>
      <sheetName val="FaaliyetDeg"/>
      <sheetName val="Finansal tamamlanma Eğrisi"/>
      <sheetName val="Fiziksel tamamlanma Eğrisi"/>
      <sheetName val="Butce Degerlendirme Ozeti"/>
      <sheetName val="Dahili İstihkak Raporu"/>
      <sheetName val="Ambar"/>
      <sheetName val="Nakit Akım Tablosu "/>
      <sheetName val="Bekleyen Alacaklar Tablosu"/>
      <sheetName val="Bekleyen Borclar"/>
      <sheetName val="Personel Durum Ozeti"/>
      <sheetName val="Personel Maliyet Özeti USD"/>
      <sheetName val="Degisiklik"/>
      <sheetName val="emniy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Information"/>
      <sheetName val="PROGRESS"/>
      <sheetName val="EV"/>
      <sheetName val="BC"/>
      <sheetName val="PROGRESS_WORK"/>
      <sheetName val="Zone2_d"/>
      <sheetName val="Layout_L"/>
      <sheetName val="Layout_R"/>
      <sheetName val="Patter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Summary"/>
      <sheetName val="Analysis"/>
      <sheetName val="#REF"/>
      <sheetName val="01"/>
      <sheetName val="Currency Rate"/>
      <sheetName val="Summary Sheet"/>
      <sheetName val="Rates"/>
      <sheetName val="External"/>
      <sheetName val="البوابة الفرعية (2)"/>
      <sheetName val="البوابة الفرعية (1)"/>
      <sheetName val="السور و البوابة الرئيسية"/>
      <sheetName val="B7-Alam Sons"/>
      <sheetName val="K - Drywall-Presd"/>
      <sheetName val="Hoja1"/>
      <sheetName val="Densidades"/>
      <sheetName val="AN"/>
      <sheetName val="6.2 Floor Finishes"/>
      <sheetName val="DESBAST"/>
      <sheetName val="خرسانه"/>
      <sheetName val="00"/>
      <sheetName val="Payroll"/>
      <sheetName val="Fence -B.O.Q (2)"/>
      <sheetName val="Fence -B.O.Q (Refaat)"/>
      <sheetName val="Sheet1"/>
      <sheetName val="Fence -B.O.Q (CPD) (2)"/>
      <sheetName val="أسعار الخامات"/>
      <sheetName val="Basis"/>
      <sheetName val="Spread_sht"/>
      <sheetName val="division 2"/>
      <sheetName val="LMP"/>
      <sheetName val="SubS2"/>
      <sheetName val="Summary Transformers"/>
      <sheetName val="Architectural"/>
      <sheetName val="RFP003B"/>
      <sheetName val="見積書"/>
      <sheetName val="Z- GENERAL PRICE SUMMARY"/>
      <sheetName val="WITHOUT C&amp;I PROFIT (3)"/>
      <sheetName val="Sheet2"/>
      <sheetName val="LAB"/>
      <sheetName val="Proc. Cont. Sheet"/>
      <sheetName val="Currencies"/>
      <sheetName val="FitOutConfCentre"/>
      <sheetName val="V.O. Details"/>
      <sheetName val="1 (PHD) -- NO. 1 (OC)"/>
      <sheetName val="3 (PHD) -- NO. 3 (OC)"/>
      <sheetName val="7 (PHD) -- NO. 10 (OC)"/>
      <sheetName val="8 (PHD) -- NO. 8 (OC)"/>
      <sheetName val="8 (PHD) -- NO. 8.2 (OC)"/>
      <sheetName val="12 (PHD) -- NO. 22 (OC)"/>
      <sheetName val="13 (PHD) -- NO.32 (OC)"/>
      <sheetName val="14 &amp; 42 (PHD) -- 9 &amp; 9.3 (OC)"/>
      <sheetName val="15 (PHD) -- SD (OC)"/>
      <sheetName val="16 (PHD) -- NO. 20 (OC)"/>
      <sheetName val="17 (PHD) -- NO.  40 (OC)"/>
      <sheetName val="18 (PHD) -- NO. 31 (OC)"/>
      <sheetName val="20 (PHD) -- NO. 27 (OC)"/>
      <sheetName val="22 (PHD) -- NO. 33 (OC)"/>
      <sheetName val="23 (PHD) -- NO. 42 (OC)"/>
      <sheetName val="24 (PHD) -- NO. 9.1 (OC)"/>
      <sheetName val="25 &amp; 33 (PHD) -- 34 &amp; 34.1 (OC)"/>
      <sheetName val="26 (PHD) -- NO. 47 (OC)"/>
      <sheetName val="27 (PHD) -- NO. 55 (OC)"/>
      <sheetName val="28 (PHD) -- NO.  54 (OC)"/>
      <sheetName val="29 (PHD) -- NO. 48 (OC)"/>
      <sheetName val="30 (PHD) -- NO. 39 (OC)"/>
      <sheetName val="32 (PHD) -- NO. 51 (OC)"/>
      <sheetName val="34 (PHD) -- NO. 44 (OC)"/>
      <sheetName val="35 (PHD) -- NO. 45 (OC)"/>
      <sheetName val="36 (PHD) -- NO. 65 (OC)"/>
      <sheetName val="37 (PHD) -- NO. 66 (OC)"/>
      <sheetName val="38 (PHD) -- NO. 69 (OC)"/>
      <sheetName val="39 (PHD) -- NO. 70 (OC)"/>
      <sheetName val="40 (PHD) -- NO. 58 (OC)"/>
      <sheetName val="41 (PHD) -- NO. 52 (OC)"/>
      <sheetName val="43 (PHD) -- NO. 79 (OC)"/>
      <sheetName val="44 (PHD) -- NO. 60 (OC)"/>
      <sheetName val="45 (PHD) -- NO. 94 (OC)"/>
      <sheetName val="46 (PHD) -- NO. 87 (OC)"/>
      <sheetName val="47 (PHD) -- NO. 71 (OC)"/>
      <sheetName val="48 (PHD) -- NO. 80 (OC)"/>
      <sheetName val="49 (PHD) -- NO. 85 (OC)"/>
      <sheetName val="50 (PHD) -- NO. 91 (OC)"/>
      <sheetName val="51 (PHD) -- NO. 74 (OC)"/>
      <sheetName val="52 (PHD) -- NO. 81 (OC)"/>
      <sheetName val="53 (PHD) -- NO. 82 (OC)"/>
      <sheetName val="54 (PHD) -- NO. 76 (OC)"/>
      <sheetName val="55 (PHD) -- NO. 90 (OC)"/>
      <sheetName val="56 (PHD) -- NO. 95"/>
      <sheetName val="57 (PHD) -- NO. 86 (OC)"/>
      <sheetName val="58 (PHD) -- NO. 102 (OC)"/>
      <sheetName val="59 (PHD) -- NO. 98 (OC)"/>
      <sheetName val="60 (PHD) -- NO. 107 (OC)"/>
      <sheetName val="61 (PHD) -- NO. 97 (OC)"/>
      <sheetName val="62 (PHD) -- NO. 108 (OC)"/>
      <sheetName val="63 (PHD) -- NO. 109 (OC)"/>
      <sheetName val="64 (PHD) -- NO. 112 (OC)"/>
      <sheetName val="65 (PHD) -- NO. 103 (OC)"/>
      <sheetName val="66 (PHD) -- NO. 110 (OC)"/>
      <sheetName val="67 (PHD) -- NO. 106 (OC)"/>
      <sheetName val="68 (PHD) -- Variation NO. 115"/>
      <sheetName val="70 (PHD)-- Variation NO. 99(OC)"/>
      <sheetName val="71 (PHD) -- Variation NO. 120"/>
      <sheetName val="72 (PHD)-- Variation NO. 129"/>
      <sheetName val="73 (PHD) -- Variation NO. 118"/>
      <sheetName val="74 (PHD) -- Variation NO. 113"/>
      <sheetName val="75 (PHD)-- Variation NO. 130"/>
      <sheetName val="76 (PHD) -- Variation NO. 135"/>
      <sheetName val="77 (PHD)-- Variation NO. 134"/>
      <sheetName val="78 (PHD) -- Variation NO. 133"/>
      <sheetName val="79 (PHD) -- Variation NO. 121"/>
      <sheetName val="80 (PHD) -- Variation NO. 128"/>
      <sheetName val="81 (PHD) -- Variation 139"/>
      <sheetName val="82 (PHD) -- Variation NO. 132"/>
      <sheetName val="83 (PHD)-- Variation NO. 122"/>
      <sheetName val="84 (PHD) -- Variation NO. 127"/>
      <sheetName val="85 (PHD) -- Variation NO. 137"/>
      <sheetName val="86 (PHD) -- Variation NO. 141"/>
      <sheetName val="87 (PHD) -- Variation NO. 89"/>
      <sheetName val="88 (PHD) -- Variation NO. 151"/>
      <sheetName val="89 (PHD) -- Variation NO. 142"/>
      <sheetName val="90 (PHD) -- Variation NO. 116"/>
      <sheetName val="91 (PHD) -- Variation NO. 111 "/>
      <sheetName val="92 (PHD) -- Variation NO. 117"/>
      <sheetName val="93 (PHD) -- Variation NO. 147"/>
      <sheetName val="94(PHD)-- Variation NO. 154"/>
      <sheetName val="95 (PHD) -- Variation NO. 92"/>
      <sheetName val="96 (PHD) -- Variation NO. 126"/>
      <sheetName val="97 (PHD) -- Variation NO. 157"/>
      <sheetName val="99 (PHD) -- Variation NO. 148"/>
      <sheetName val="100 (PHD) -- Variation NO. 198"/>
      <sheetName val="101(PHD)--Variation NO.138, 149"/>
      <sheetName val="102 (PHD) -- Variation NO. 155"/>
      <sheetName val="103 (PHD) -- Variation NO. 143"/>
      <sheetName val="104 (PHD) -- Variation NO. 152"/>
      <sheetName val="105 (PHD)--Variation NO. 158(1)"/>
      <sheetName val=" 106(PHD)--Variation NO.161(OC)"/>
      <sheetName val="107(PHD)--Variation NO. 136(OC)"/>
      <sheetName val="108 (PHD) -- instead (25&amp;39)"/>
      <sheetName val="109(PHD)--Variation NO.180 (OC)"/>
      <sheetName val="110 (PHD)--Variation NO.190(2)"/>
      <sheetName val="111 (PHD)--VO. No. 159 &amp; 176"/>
      <sheetName val="112 (PHD)--VO. NO. 174 &amp; 185"/>
      <sheetName val="113 (PHD) -- VO NO. 206 (1)(OC)"/>
      <sheetName val="114 (PHD) -- Vo NO. 166 (OC)"/>
      <sheetName val="115 (PHD)-- VOs 173&amp;187&amp;189(OC)"/>
      <sheetName val="116 (PHD) -- Vos 164 &amp; 195 (OC)"/>
      <sheetName val="117 (PHD) -- Vos 208 (OC)"/>
      <sheetName val="118 (PHD) -- Vos 124 (OC)"/>
      <sheetName val="119 (PHD) -- Vos 194 &amp; 199 (OC)"/>
      <sheetName val="120 (PHD--Vos 132,181,222(OC)"/>
      <sheetName val="121 PHD--Vos 15 OC VOs"/>
      <sheetName val="122 (PHD) -- Vo 216 (OC)"/>
      <sheetName val="123 (PHD) -- Vo 248 (1) (OC)"/>
      <sheetName val="124 PHD--Vos 7 OC VOs"/>
      <sheetName val="125 PHD--Vos 4 OC VOs"/>
      <sheetName val="126 (PHD) -- VO # 167 (OC)"/>
      <sheetName val="127 (PHD) -- VO #271 Rev.1 (OC)"/>
      <sheetName val="128 (PHD)--VO# 268, 270(1) (OC)"/>
      <sheetName val="129 PHD--Vos 9 OC VOs"/>
      <sheetName val="130 PHD--Vos230,249,252,263,288"/>
      <sheetName val="131 PHD--Vos 14 OC VOs"/>
      <sheetName val="132 PHD--Vo 285 (3)"/>
      <sheetName val="133 PHD--Vos 11 OC VOs"/>
      <sheetName val="134 PHD--Vos 8 OC VOs"/>
      <sheetName val="135 PHD--Vos 7 OC VOs"/>
      <sheetName val="136 PHD--Vos 6 OC VOs"/>
      <sheetName val="137 PHD--Vos 7 OC VOs"/>
      <sheetName val="138 PHD--Vos 12 OC VOs"/>
      <sheetName val="139 PHD--Vos 14 OC VOs"/>
      <sheetName val="140 PHD -- VO# 364 Rev. 03 (OC)"/>
      <sheetName val="141 PHD--VO # 389 Rev. 01 (OC)"/>
      <sheetName val="142 PHD-- Vos 12 OC VOs"/>
      <sheetName val="143 PHD-- Vos 5 OC"/>
      <sheetName val=" -- VOs. From 114 to 200 (OC)"/>
      <sheetName val=" -- VOs. From 201 to 300 (OC)"/>
      <sheetName val=" -- VOs. From 301 to 400 (OC)"/>
      <sheetName val=" -- VOs. From 401 to 500 (OC)"/>
      <sheetName val="EIs Progress"/>
      <sheetName val="Menu"/>
      <sheetName val="Project Units Areas"/>
      <sheetName val="1400"/>
      <sheetName val="$total"/>
      <sheetName val="02"/>
      <sheetName val="Detail"/>
      <sheetName val="19-PERF"/>
      <sheetName val="Total  Amount"/>
      <sheetName val="Currency_Rate"/>
      <sheetName val="Summary_Sheet"/>
      <sheetName val="Currency_Rate1"/>
      <sheetName val="Summary_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32"/>
  <sheetViews>
    <sheetView showGridLines="0" tabSelected="1" topLeftCell="E1" zoomScaleNormal="100" workbookViewId="0">
      <selection activeCell="M1" sqref="M1"/>
    </sheetView>
  </sheetViews>
  <sheetFormatPr defaultColWidth="9.109375" defaultRowHeight="12"/>
  <cols>
    <col min="1" max="1" width="3.5546875" style="1" bestFit="1" customWidth="1"/>
    <col min="2" max="2" width="1.6640625" style="1" customWidth="1"/>
    <col min="3" max="3" width="32.5546875" style="1" bestFit="1" customWidth="1"/>
    <col min="4" max="4" width="11.109375" style="2" bestFit="1" customWidth="1"/>
    <col min="5" max="6" width="11.109375" style="1" bestFit="1" customWidth="1"/>
    <col min="7" max="7" width="1.6640625" style="1" customWidth="1"/>
    <col min="8" max="8" width="3.5546875" style="1" bestFit="1" customWidth="1"/>
    <col min="9" max="9" width="1.6640625" style="1" customWidth="1"/>
    <col min="10" max="10" width="32.5546875" style="1" bestFit="1" customWidth="1"/>
    <col min="11" max="11" width="11.109375" style="2" bestFit="1" customWidth="1"/>
    <col min="12" max="13" width="11.109375" style="1" bestFit="1" customWidth="1"/>
    <col min="14" max="14" width="11.109375" style="1" customWidth="1"/>
    <col min="15" max="15" width="1.6640625" style="1" customWidth="1"/>
    <col min="16" max="16" width="3.5546875" style="1" bestFit="1" customWidth="1"/>
    <col min="17" max="17" width="1.6640625" style="1" customWidth="1"/>
    <col min="18" max="18" width="32.5546875" style="1" bestFit="1" customWidth="1"/>
    <col min="19" max="19" width="11.109375" style="1" bestFit="1" customWidth="1"/>
    <col min="20" max="20" width="11.109375" style="1" customWidth="1"/>
    <col min="21" max="21" width="1.6640625" style="1" customWidth="1"/>
    <col min="22" max="16384" width="9.109375" style="1"/>
  </cols>
  <sheetData>
    <row r="1" spans="2:21" ht="12.6" thickBot="1">
      <c r="D1" s="6"/>
      <c r="E1" s="6"/>
      <c r="F1" s="6"/>
      <c r="K1" s="6"/>
      <c r="L1" s="6"/>
      <c r="M1" s="6" t="s">
        <v>250</v>
      </c>
      <c r="N1" s="6"/>
      <c r="S1" s="6"/>
      <c r="T1" s="6"/>
    </row>
    <row r="2" spans="2:21">
      <c r="B2" s="103"/>
      <c r="C2" s="104"/>
      <c r="D2" s="105"/>
      <c r="E2" s="104"/>
      <c r="F2" s="104"/>
      <c r="G2" s="106"/>
      <c r="I2" s="103"/>
      <c r="J2" s="104"/>
      <c r="K2" s="105"/>
      <c r="L2" s="125"/>
      <c r="M2" s="125"/>
      <c r="N2" s="125"/>
      <c r="O2" s="106"/>
      <c r="Q2" s="228"/>
      <c r="R2" s="229"/>
      <c r="S2" s="230"/>
      <c r="T2" s="230"/>
      <c r="U2" s="231"/>
    </row>
    <row r="3" spans="2:21" ht="14.4">
      <c r="B3" s="107"/>
      <c r="C3" s="257" t="s">
        <v>0</v>
      </c>
      <c r="D3" s="257"/>
      <c r="E3" s="257"/>
      <c r="F3" s="257"/>
      <c r="G3" s="111"/>
      <c r="I3" s="107"/>
      <c r="J3" s="257" t="s">
        <v>1</v>
      </c>
      <c r="K3" s="257"/>
      <c r="L3" s="257"/>
      <c r="M3" s="257"/>
      <c r="N3" s="257"/>
      <c r="O3" s="111"/>
      <c r="Q3" s="232"/>
      <c r="R3" s="256" t="s">
        <v>2</v>
      </c>
      <c r="S3" s="256"/>
      <c r="T3" s="256"/>
      <c r="U3" s="233"/>
    </row>
    <row r="4" spans="2:21">
      <c r="B4" s="107"/>
      <c r="C4" s="109"/>
      <c r="D4" s="110"/>
      <c r="E4" s="109"/>
      <c r="F4" s="109"/>
      <c r="G4" s="111"/>
      <c r="I4" s="107"/>
      <c r="J4" s="109"/>
      <c r="K4" s="110"/>
      <c r="L4" s="131"/>
      <c r="M4" s="131"/>
      <c r="N4" s="131"/>
      <c r="O4" s="111"/>
      <c r="Q4" s="232"/>
      <c r="R4" s="225"/>
      <c r="S4" s="223"/>
      <c r="T4" s="223"/>
      <c r="U4" s="233"/>
    </row>
    <row r="5" spans="2:21" ht="14.4">
      <c r="B5" s="107"/>
      <c r="C5" s="109" t="s">
        <v>3</v>
      </c>
      <c r="D5" s="110"/>
      <c r="E5" s="110" t="s">
        <v>4</v>
      </c>
      <c r="F5" s="3">
        <v>42358.29</v>
      </c>
      <c r="G5" s="111"/>
      <c r="I5" s="107"/>
      <c r="J5" s="109" t="s">
        <v>5</v>
      </c>
      <c r="K5" s="110"/>
      <c r="L5" s="145" t="s">
        <v>6</v>
      </c>
      <c r="M5" s="134">
        <v>2</v>
      </c>
      <c r="N5" s="131"/>
      <c r="O5" s="111"/>
      <c r="Q5" s="232"/>
      <c r="R5" s="227" t="s">
        <v>7</v>
      </c>
      <c r="S5" s="223"/>
      <c r="T5" s="240">
        <f>Financials!C155</f>
        <v>0.14911386654202974</v>
      </c>
      <c r="U5" s="233"/>
    </row>
    <row r="6" spans="2:21" ht="14.4">
      <c r="B6" s="107"/>
      <c r="C6" s="109" t="s">
        <v>8</v>
      </c>
      <c r="D6" s="110"/>
      <c r="E6" s="110" t="s">
        <v>9</v>
      </c>
      <c r="F6" s="3">
        <v>1800</v>
      </c>
      <c r="G6" s="111"/>
      <c r="I6" s="107"/>
      <c r="J6" s="109" t="s">
        <v>10</v>
      </c>
      <c r="K6" s="110"/>
      <c r="L6" s="145" t="s">
        <v>6</v>
      </c>
      <c r="M6" s="134">
        <v>25</v>
      </c>
      <c r="N6" s="131"/>
      <c r="O6" s="111"/>
      <c r="Q6" s="232"/>
      <c r="R6" s="227" t="s">
        <v>11</v>
      </c>
      <c r="S6" s="223"/>
      <c r="T6" s="240">
        <f>Financials!C157</f>
        <v>0.15652102003588664</v>
      </c>
      <c r="U6" s="233"/>
    </row>
    <row r="7" spans="2:21">
      <c r="B7" s="107"/>
      <c r="C7" s="109" t="s">
        <v>12</v>
      </c>
      <c r="D7" s="110"/>
      <c r="E7" s="110" t="s">
        <v>13</v>
      </c>
      <c r="F7" s="7">
        <v>7.8750000000000001E-2</v>
      </c>
      <c r="G7" s="111"/>
      <c r="I7" s="107"/>
      <c r="J7" s="109"/>
      <c r="K7" s="110"/>
      <c r="L7" s="131"/>
      <c r="M7" s="131"/>
      <c r="N7" s="131"/>
      <c r="O7" s="111"/>
      <c r="Q7" s="232"/>
      <c r="R7" s="225"/>
      <c r="S7" s="222"/>
      <c r="T7" s="223"/>
      <c r="U7" s="233"/>
    </row>
    <row r="8" spans="2:21" ht="12.6" thickBot="1">
      <c r="B8" s="107"/>
      <c r="C8" s="113" t="s">
        <v>14</v>
      </c>
      <c r="D8" s="114"/>
      <c r="E8" s="115" t="s">
        <v>15</v>
      </c>
      <c r="F8" s="124">
        <f>+(F5*F6)*(1+F7)</f>
        <v>82249209.607500002</v>
      </c>
      <c r="G8" s="111"/>
      <c r="I8" s="107"/>
      <c r="J8" s="109" t="s">
        <v>16</v>
      </c>
      <c r="K8" s="110"/>
      <c r="L8" s="110" t="s">
        <v>13</v>
      </c>
      <c r="M8" s="7">
        <v>2.5000000000000001E-2</v>
      </c>
      <c r="N8" s="131"/>
      <c r="O8" s="111"/>
      <c r="Q8" s="232"/>
      <c r="R8" s="225"/>
      <c r="S8" s="222"/>
      <c r="T8" s="226" t="s">
        <v>17</v>
      </c>
      <c r="U8" s="233"/>
    </row>
    <row r="9" spans="2:21" ht="15" thickTop="1">
      <c r="B9" s="107"/>
      <c r="C9" s="116"/>
      <c r="D9" s="117"/>
      <c r="E9" s="118"/>
      <c r="F9" s="122"/>
      <c r="G9" s="111"/>
      <c r="I9" s="107"/>
      <c r="J9" s="109" t="s">
        <v>18</v>
      </c>
      <c r="K9" s="110"/>
      <c r="L9" s="110" t="s">
        <v>13</v>
      </c>
      <c r="M9" s="7">
        <v>0.05</v>
      </c>
      <c r="N9" s="131"/>
      <c r="O9" s="111"/>
      <c r="Q9" s="232"/>
      <c r="R9" s="227" t="s">
        <v>19</v>
      </c>
      <c r="S9" s="238">
        <f>Financials!C159</f>
        <v>8.2527820882154899</v>
      </c>
      <c r="T9" s="239">
        <f>Financials!C160</f>
        <v>0.2947422174362675</v>
      </c>
      <c r="U9" s="233"/>
    </row>
    <row r="10" spans="2:21" ht="14.4">
      <c r="B10" s="107"/>
      <c r="C10" s="109" t="s">
        <v>20</v>
      </c>
      <c r="D10" s="110"/>
      <c r="E10" s="110" t="s">
        <v>21</v>
      </c>
      <c r="F10" s="123">
        <f>SUM(E19:E21)/F5</f>
        <v>0.65488951513387339</v>
      </c>
      <c r="G10" s="111"/>
      <c r="I10" s="107"/>
      <c r="J10" s="131"/>
      <c r="K10" s="131"/>
      <c r="L10" s="131"/>
      <c r="M10" s="131"/>
      <c r="N10" s="131"/>
      <c r="O10" s="111"/>
      <c r="Q10" s="232"/>
      <c r="R10" s="227" t="s">
        <v>22</v>
      </c>
      <c r="S10" s="238">
        <f>Financials!C162</f>
        <v>5.9089474617508433</v>
      </c>
      <c r="T10" s="239">
        <f>Financials!C163</f>
        <v>0.21103383791967298</v>
      </c>
      <c r="U10" s="233"/>
    </row>
    <row r="11" spans="2:21" ht="12.6" thickBot="1">
      <c r="B11" s="108"/>
      <c r="C11" s="119"/>
      <c r="D11" s="120"/>
      <c r="E11" s="121"/>
      <c r="F11" s="121"/>
      <c r="G11" s="112"/>
      <c r="I11" s="108"/>
      <c r="J11" s="119"/>
      <c r="K11" s="120"/>
      <c r="L11" s="121"/>
      <c r="M11" s="121"/>
      <c r="N11" s="121"/>
      <c r="O11" s="112"/>
      <c r="Q11" s="234"/>
      <c r="R11" s="235"/>
      <c r="S11" s="236"/>
      <c r="T11" s="236"/>
      <c r="U11" s="237"/>
    </row>
    <row r="12" spans="2:21">
      <c r="E12" s="4"/>
      <c r="F12" s="4"/>
    </row>
    <row r="13" spans="2:21" ht="12.6" thickBot="1">
      <c r="E13" s="5"/>
      <c r="F13" s="5"/>
    </row>
    <row r="14" spans="2:21">
      <c r="B14" s="103"/>
      <c r="C14" s="104"/>
      <c r="D14" s="105"/>
      <c r="E14" s="125"/>
      <c r="F14" s="125"/>
      <c r="G14" s="106"/>
      <c r="I14" s="103"/>
      <c r="J14" s="104"/>
      <c r="K14" s="105"/>
      <c r="L14" s="125"/>
      <c r="M14" s="125"/>
      <c r="N14" s="125"/>
      <c r="O14" s="106"/>
      <c r="Q14" s="228"/>
      <c r="R14" s="229"/>
      <c r="S14" s="230"/>
      <c r="T14" s="230"/>
      <c r="U14" s="231"/>
    </row>
    <row r="15" spans="2:21" ht="14.4">
      <c r="B15" s="107"/>
      <c r="C15" s="257" t="s">
        <v>23</v>
      </c>
      <c r="D15" s="257"/>
      <c r="E15" s="257"/>
      <c r="F15" s="257"/>
      <c r="G15" s="111"/>
      <c r="I15" s="107"/>
      <c r="J15" s="257" t="s">
        <v>24</v>
      </c>
      <c r="K15" s="257"/>
      <c r="L15" s="257"/>
      <c r="M15" s="257"/>
      <c r="N15" s="257"/>
      <c r="O15" s="111"/>
      <c r="Q15" s="232"/>
      <c r="R15" s="256" t="s">
        <v>25</v>
      </c>
      <c r="S15" s="256"/>
      <c r="T15" s="256"/>
      <c r="U15" s="233"/>
    </row>
    <row r="16" spans="2:21">
      <c r="B16" s="107"/>
      <c r="C16" s="109"/>
      <c r="D16" s="110"/>
      <c r="E16" s="131"/>
      <c r="F16" s="131"/>
      <c r="G16" s="111"/>
      <c r="I16" s="107"/>
      <c r="J16" s="109"/>
      <c r="K16" s="110"/>
      <c r="L16" s="131"/>
      <c r="M16" s="131"/>
      <c r="N16" s="131"/>
      <c r="O16" s="111"/>
      <c r="Q16" s="232"/>
      <c r="R16" s="225"/>
      <c r="S16" s="223"/>
      <c r="T16" s="223"/>
      <c r="U16" s="233"/>
    </row>
    <row r="17" spans="2:21" ht="14.4">
      <c r="B17" s="107"/>
      <c r="C17" s="126" t="s">
        <v>26</v>
      </c>
      <c r="D17" s="110"/>
      <c r="E17" s="131"/>
      <c r="F17" s="131"/>
      <c r="G17" s="111"/>
      <c r="I17" s="107"/>
      <c r="J17" s="126" t="s">
        <v>27</v>
      </c>
      <c r="K17" s="110"/>
      <c r="L17" s="131"/>
      <c r="M17" s="131"/>
      <c r="N17" s="131"/>
      <c r="O17" s="111"/>
      <c r="Q17" s="232"/>
      <c r="R17" s="227" t="s">
        <v>28</v>
      </c>
      <c r="S17" s="224" t="s">
        <v>6</v>
      </c>
      <c r="T17" s="3">
        <v>5</v>
      </c>
      <c r="U17" s="233"/>
    </row>
    <row r="18" spans="2:21">
      <c r="B18" s="107"/>
      <c r="C18" s="127" t="s">
        <v>29</v>
      </c>
      <c r="D18" s="132" t="s">
        <v>30</v>
      </c>
      <c r="E18" s="132" t="s">
        <v>31</v>
      </c>
      <c r="F18" s="132" t="s">
        <v>32</v>
      </c>
      <c r="G18" s="111"/>
      <c r="I18" s="107"/>
      <c r="J18" s="109"/>
      <c r="K18" s="141"/>
      <c r="L18" s="141" t="s">
        <v>33</v>
      </c>
      <c r="M18" s="132" t="s">
        <v>34</v>
      </c>
      <c r="N18" s="132" t="s">
        <v>35</v>
      </c>
      <c r="O18" s="111"/>
      <c r="Q18" s="232"/>
      <c r="R18" s="227" t="s">
        <v>36</v>
      </c>
      <c r="S18" s="222" t="s">
        <v>13</v>
      </c>
      <c r="T18" s="7">
        <v>0.08</v>
      </c>
      <c r="U18" s="233"/>
    </row>
    <row r="19" spans="2:21">
      <c r="B19" s="107"/>
      <c r="C19" s="128" t="s">
        <v>249</v>
      </c>
      <c r="D19" s="3">
        <v>2200</v>
      </c>
      <c r="E19" s="3">
        <v>8000</v>
      </c>
      <c r="F19" s="134">
        <f>E19*D19</f>
        <v>17600000</v>
      </c>
      <c r="G19" s="111"/>
      <c r="I19" s="107"/>
      <c r="J19" s="109" t="s">
        <v>38</v>
      </c>
      <c r="K19" s="110"/>
      <c r="L19" s="110">
        <v>60</v>
      </c>
      <c r="M19" s="3">
        <f>362*1.15</f>
        <v>416.29999999999995</v>
      </c>
      <c r="N19" s="134">
        <f>K45*M19*L19*365</f>
        <v>4102636.4999999995</v>
      </c>
      <c r="O19" s="111"/>
      <c r="Q19" s="232"/>
      <c r="R19" s="225"/>
      <c r="S19" s="223"/>
      <c r="T19" s="223"/>
      <c r="U19" s="233"/>
    </row>
    <row r="20" spans="2:21" ht="14.4">
      <c r="B20" s="107"/>
      <c r="C20" s="128" t="s">
        <v>39</v>
      </c>
      <c r="D20" s="3">
        <v>2400</v>
      </c>
      <c r="E20" s="3">
        <v>12200</v>
      </c>
      <c r="F20" s="134">
        <f t="shared" ref="F20:F24" si="0">E20*D20</f>
        <v>29280000</v>
      </c>
      <c r="G20" s="111"/>
      <c r="I20" s="107"/>
      <c r="J20" s="109" t="s">
        <v>40</v>
      </c>
      <c r="K20" s="110"/>
      <c r="L20" s="110">
        <v>40</v>
      </c>
      <c r="M20" s="3">
        <f>$M$19*1.7</f>
        <v>707.70999999999992</v>
      </c>
      <c r="N20" s="134">
        <f>K46*M20*L20*365</f>
        <v>4649654.6999999993</v>
      </c>
      <c r="O20" s="111"/>
      <c r="Q20" s="232"/>
      <c r="R20" s="227" t="s">
        <v>11</v>
      </c>
      <c r="S20" s="223"/>
      <c r="T20" s="240">
        <f>Financials!C176</f>
        <v>0.22924999087432418</v>
      </c>
      <c r="U20" s="233"/>
    </row>
    <row r="21" spans="2:21">
      <c r="B21" s="107"/>
      <c r="C21" s="128" t="s">
        <v>41</v>
      </c>
      <c r="D21" s="3">
        <v>4000</v>
      </c>
      <c r="E21" s="3">
        <f>5800*1.3</f>
        <v>7540</v>
      </c>
      <c r="F21" s="134">
        <f t="shared" si="0"/>
        <v>30160000</v>
      </c>
      <c r="G21" s="111"/>
      <c r="I21" s="107"/>
      <c r="J21" s="109" t="s">
        <v>42</v>
      </c>
      <c r="K21" s="110"/>
      <c r="L21" s="110">
        <v>20</v>
      </c>
      <c r="M21" s="3">
        <f>$M$19*2.5</f>
        <v>1040.75</v>
      </c>
      <c r="N21" s="134">
        <f>K47*M21*L21*365</f>
        <v>3418863.75</v>
      </c>
      <c r="O21" s="111"/>
      <c r="Q21" s="232"/>
      <c r="R21" s="225"/>
      <c r="S21" s="222"/>
      <c r="T21" s="226"/>
      <c r="U21" s="233"/>
    </row>
    <row r="22" spans="2:21">
      <c r="B22" s="107"/>
      <c r="C22" s="128" t="s">
        <v>43</v>
      </c>
      <c r="D22" s="3">
        <v>500</v>
      </c>
      <c r="E22" s="3">
        <f>F5*0.8</f>
        <v>33886.632000000005</v>
      </c>
      <c r="F22" s="134">
        <f t="shared" si="0"/>
        <v>16943316.000000004</v>
      </c>
      <c r="G22" s="111"/>
      <c r="I22" s="107"/>
      <c r="J22" s="130" t="s">
        <v>44</v>
      </c>
      <c r="K22" s="136"/>
      <c r="L22" s="136">
        <f>SUM(L19:L21)</f>
        <v>120</v>
      </c>
      <c r="M22" s="140"/>
      <c r="N22" s="136">
        <f>SUM(N19:N21)</f>
        <v>12171154.949999999</v>
      </c>
      <c r="O22" s="111"/>
      <c r="Q22" s="232"/>
      <c r="R22" s="225"/>
      <c r="S22" s="222"/>
      <c r="T22" s="226" t="s">
        <v>17</v>
      </c>
      <c r="U22" s="233"/>
    </row>
    <row r="23" spans="2:21" ht="14.4">
      <c r="B23" s="107"/>
      <c r="C23" s="128" t="s">
        <v>45</v>
      </c>
      <c r="D23" s="3">
        <v>2000</v>
      </c>
      <c r="E23" s="3">
        <f>300*60</f>
        <v>18000</v>
      </c>
      <c r="F23" s="134">
        <f t="shared" si="0"/>
        <v>36000000</v>
      </c>
      <c r="G23" s="111"/>
      <c r="I23" s="107"/>
      <c r="J23" s="109"/>
      <c r="K23" s="110"/>
      <c r="L23" s="131"/>
      <c r="M23" s="131"/>
      <c r="N23" s="131"/>
      <c r="O23" s="111"/>
      <c r="Q23" s="232"/>
      <c r="R23" s="227" t="s">
        <v>19</v>
      </c>
      <c r="S23" s="238">
        <f>Financials!C178</f>
        <v>1.6006363248956559</v>
      </c>
      <c r="T23" s="239">
        <f>Financials!C179</f>
        <v>0.32012726497913119</v>
      </c>
      <c r="U23" s="233"/>
    </row>
    <row r="24" spans="2:21" ht="12.6" thickBot="1">
      <c r="B24" s="107"/>
      <c r="C24" s="128" t="s">
        <v>46</v>
      </c>
      <c r="D24" s="3">
        <v>2000</v>
      </c>
      <c r="E24" s="3">
        <f>F5*0.07</f>
        <v>2965.0803000000005</v>
      </c>
      <c r="F24" s="134">
        <f t="shared" si="0"/>
        <v>5930160.6000000015</v>
      </c>
      <c r="G24" s="111"/>
      <c r="I24" s="107"/>
      <c r="J24" s="127" t="s">
        <v>47</v>
      </c>
      <c r="K24" s="110"/>
      <c r="L24" s="131"/>
      <c r="M24" s="9">
        <v>0.35</v>
      </c>
      <c r="N24" s="134">
        <f>M24*N22</f>
        <v>4259904.2324999999</v>
      </c>
      <c r="O24" s="111"/>
      <c r="Q24" s="234"/>
      <c r="R24" s="235"/>
      <c r="S24" s="236"/>
      <c r="T24" s="236"/>
      <c r="U24" s="237"/>
    </row>
    <row r="25" spans="2:21">
      <c r="B25" s="107"/>
      <c r="C25" s="128" t="s">
        <v>48</v>
      </c>
      <c r="D25" s="133"/>
      <c r="E25" s="133"/>
      <c r="F25" s="8">
        <v>4500000</v>
      </c>
      <c r="G25" s="111"/>
      <c r="I25" s="107"/>
      <c r="J25" s="109"/>
      <c r="K25" s="110"/>
      <c r="L25" s="131"/>
      <c r="M25" s="131"/>
      <c r="N25" s="134"/>
      <c r="O25" s="111"/>
    </row>
    <row r="26" spans="2:21" ht="14.4">
      <c r="B26" s="107"/>
      <c r="C26" s="129"/>
      <c r="D26" s="133"/>
      <c r="E26" s="133"/>
      <c r="F26" s="134"/>
      <c r="G26" s="111"/>
      <c r="I26" s="107"/>
      <c r="J26" s="126" t="s">
        <v>49</v>
      </c>
      <c r="K26" s="110"/>
      <c r="L26" s="132" t="s">
        <v>31</v>
      </c>
      <c r="M26" s="132" t="s">
        <v>50</v>
      </c>
      <c r="N26" s="132" t="s">
        <v>35</v>
      </c>
      <c r="O26" s="111"/>
    </row>
    <row r="27" spans="2:21">
      <c r="B27" s="107"/>
      <c r="C27" s="130" t="s">
        <v>51</v>
      </c>
      <c r="D27" s="135"/>
      <c r="E27" s="135"/>
      <c r="F27" s="136">
        <f>SUM(F19:F25)</f>
        <v>140413476.59999999</v>
      </c>
      <c r="G27" s="111"/>
      <c r="I27" s="107"/>
      <c r="J27" s="109" t="str">
        <f>C20</f>
        <v xml:space="preserve">Retail &amp; Entertainment </v>
      </c>
      <c r="K27" s="110"/>
      <c r="L27" s="3">
        <f>E20*1</f>
        <v>12200</v>
      </c>
      <c r="M27" s="3">
        <v>1400</v>
      </c>
      <c r="N27" s="134">
        <f>M27*L27*K50</f>
        <v>11102000</v>
      </c>
      <c r="O27" s="111"/>
      <c r="R27" s="255"/>
    </row>
    <row r="28" spans="2:21">
      <c r="B28" s="107"/>
      <c r="C28" s="116"/>
      <c r="D28" s="137"/>
      <c r="E28" s="117"/>
      <c r="F28" s="117"/>
      <c r="G28" s="111"/>
      <c r="I28" s="107"/>
      <c r="J28" s="109" t="str">
        <f>C19</f>
        <v>Entirtainment Offices</v>
      </c>
      <c r="K28" s="110"/>
      <c r="L28" s="3">
        <f>E19*1</f>
        <v>8000</v>
      </c>
      <c r="M28" s="3">
        <v>700</v>
      </c>
      <c r="N28" s="134">
        <f>M28*L28*K51</f>
        <v>3640000</v>
      </c>
      <c r="O28" s="111"/>
      <c r="R28" s="255"/>
    </row>
    <row r="29" spans="2:21" ht="14.4">
      <c r="B29" s="107"/>
      <c r="C29" s="126" t="s">
        <v>52</v>
      </c>
      <c r="D29" s="137"/>
      <c r="E29" s="117"/>
      <c r="F29" s="117"/>
      <c r="G29" s="111"/>
      <c r="I29" s="107"/>
      <c r="J29" s="130" t="s">
        <v>53</v>
      </c>
      <c r="K29" s="136"/>
      <c r="L29" s="140"/>
      <c r="M29" s="136"/>
      <c r="N29" s="136">
        <f>SUM(N27:N28)</f>
        <v>14742000</v>
      </c>
      <c r="O29" s="111"/>
    </row>
    <row r="30" spans="2:21">
      <c r="B30" s="107"/>
      <c r="C30" s="127" t="s">
        <v>54</v>
      </c>
      <c r="D30" s="110"/>
      <c r="E30" s="138">
        <f>SUM(E31:E35)</f>
        <v>3.0000000000000002E-2</v>
      </c>
      <c r="F30" s="122">
        <f>SUM(F31:F35)</f>
        <v>4212404.2980000004</v>
      </c>
      <c r="G30" s="111"/>
      <c r="I30" s="107"/>
      <c r="J30" s="109"/>
      <c r="K30" s="110"/>
      <c r="L30" s="131"/>
      <c r="M30" s="131"/>
      <c r="N30" s="134"/>
      <c r="O30" s="111"/>
    </row>
    <row r="31" spans="2:21" ht="12.6" thickBot="1">
      <c r="B31" s="107"/>
      <c r="C31" s="128" t="s">
        <v>55</v>
      </c>
      <c r="D31" s="110"/>
      <c r="E31" s="7">
        <v>7.4999999999999997E-3</v>
      </c>
      <c r="F31" s="134">
        <f>E31*$F$27</f>
        <v>1053101.0744999999</v>
      </c>
      <c r="G31" s="111"/>
      <c r="I31" s="107"/>
      <c r="J31" s="142" t="s">
        <v>56</v>
      </c>
      <c r="K31" s="143"/>
      <c r="L31" s="144"/>
      <c r="M31" s="144"/>
      <c r="N31" s="124">
        <f>N29+N24+N22</f>
        <v>31173059.182500001</v>
      </c>
      <c r="O31" s="111"/>
    </row>
    <row r="32" spans="2:21" ht="12.6" thickTop="1">
      <c r="B32" s="107"/>
      <c r="C32" s="128" t="s">
        <v>57</v>
      </c>
      <c r="D32" s="110"/>
      <c r="E32" s="7">
        <v>5.0000000000000001E-3</v>
      </c>
      <c r="F32" s="134">
        <f t="shared" ref="F32:F39" si="1">E32*$F$27</f>
        <v>702067.38300000003</v>
      </c>
      <c r="G32" s="111"/>
      <c r="I32" s="107"/>
      <c r="J32" s="109"/>
      <c r="K32" s="110"/>
      <c r="L32" s="131"/>
      <c r="M32" s="131"/>
      <c r="N32" s="134"/>
      <c r="O32" s="111"/>
    </row>
    <row r="33" spans="2:15" ht="14.4">
      <c r="B33" s="107"/>
      <c r="C33" s="128" t="s">
        <v>58</v>
      </c>
      <c r="D33" s="110"/>
      <c r="E33" s="7">
        <v>5.0000000000000001E-3</v>
      </c>
      <c r="F33" s="134">
        <f t="shared" si="1"/>
        <v>702067.38300000003</v>
      </c>
      <c r="G33" s="111"/>
      <c r="I33" s="107"/>
      <c r="J33" s="126" t="s">
        <v>59</v>
      </c>
      <c r="K33" s="110"/>
      <c r="L33" s="132" t="s">
        <v>60</v>
      </c>
      <c r="M33" s="189" t="s">
        <v>61</v>
      </c>
      <c r="N33" s="134"/>
      <c r="O33" s="111"/>
    </row>
    <row r="34" spans="2:15">
      <c r="B34" s="107"/>
      <c r="C34" s="128" t="s">
        <v>62</v>
      </c>
      <c r="D34" s="110"/>
      <c r="E34" s="7">
        <v>7.4999999999999997E-3</v>
      </c>
      <c r="F34" s="134">
        <f t="shared" si="1"/>
        <v>1053101.0744999999</v>
      </c>
      <c r="G34" s="111"/>
      <c r="I34" s="107"/>
      <c r="J34" s="127" t="s">
        <v>27</v>
      </c>
      <c r="K34" s="110"/>
      <c r="L34" s="131"/>
      <c r="M34" s="131"/>
      <c r="N34" s="134"/>
      <c r="O34" s="111"/>
    </row>
    <row r="35" spans="2:15">
      <c r="B35" s="107"/>
      <c r="C35" s="128" t="s">
        <v>63</v>
      </c>
      <c r="D35" s="110"/>
      <c r="E35" s="7">
        <v>5.0000000000000001E-3</v>
      </c>
      <c r="F35" s="134">
        <f t="shared" si="1"/>
        <v>702067.38300000003</v>
      </c>
      <c r="G35" s="111"/>
      <c r="I35" s="107"/>
      <c r="J35" s="128" t="str">
        <f>J19</f>
        <v>Hotel 32m - Studio</v>
      </c>
      <c r="K35" s="110"/>
      <c r="L35" s="9">
        <v>0.15</v>
      </c>
      <c r="M35" s="3">
        <v>3</v>
      </c>
      <c r="N35" s="134"/>
      <c r="O35" s="111"/>
    </row>
    <row r="36" spans="2:15">
      <c r="B36" s="107"/>
      <c r="C36" s="128"/>
      <c r="D36" s="110"/>
      <c r="E36" s="131"/>
      <c r="F36" s="117"/>
      <c r="G36" s="111"/>
      <c r="I36" s="107"/>
      <c r="J36" s="128" t="str">
        <f>J20</f>
        <v>Hotel 48m - 1 Bed Room</v>
      </c>
      <c r="K36" s="110"/>
      <c r="L36" s="9">
        <v>0.15</v>
      </c>
      <c r="M36" s="3">
        <v>3</v>
      </c>
      <c r="N36" s="134"/>
      <c r="O36" s="111"/>
    </row>
    <row r="37" spans="2:15">
      <c r="B37" s="107"/>
      <c r="C37" s="127" t="s">
        <v>64</v>
      </c>
      <c r="D37" s="110"/>
      <c r="E37" s="7">
        <v>0.1</v>
      </c>
      <c r="F37" s="122">
        <f t="shared" si="1"/>
        <v>14041347.66</v>
      </c>
      <c r="G37" s="111"/>
      <c r="I37" s="107"/>
      <c r="J37" s="128" t="str">
        <f>J21</f>
        <v>Hotel 64m - 2 Bed Room</v>
      </c>
      <c r="K37" s="110"/>
      <c r="L37" s="9">
        <v>0.15</v>
      </c>
      <c r="M37" s="3">
        <v>3</v>
      </c>
      <c r="N37" s="134"/>
      <c r="O37" s="111"/>
    </row>
    <row r="38" spans="2:15">
      <c r="B38" s="107"/>
      <c r="C38" s="127"/>
      <c r="D38" s="110"/>
      <c r="E38" s="131"/>
      <c r="F38" s="117"/>
      <c r="G38" s="111"/>
      <c r="I38" s="107"/>
      <c r="J38" s="109"/>
      <c r="K38" s="110"/>
      <c r="L38" s="131"/>
      <c r="M38" s="131"/>
      <c r="N38" s="134"/>
      <c r="O38" s="111"/>
    </row>
    <row r="39" spans="2:15">
      <c r="B39" s="107"/>
      <c r="C39" s="127" t="s">
        <v>65</v>
      </c>
      <c r="D39" s="110"/>
      <c r="E39" s="7">
        <v>0.03</v>
      </c>
      <c r="F39" s="122">
        <f t="shared" si="1"/>
        <v>4212404.2979999995</v>
      </c>
      <c r="G39" s="111"/>
      <c r="I39" s="107"/>
      <c r="J39" s="127" t="s">
        <v>49</v>
      </c>
      <c r="K39" s="110"/>
      <c r="L39" s="131"/>
      <c r="M39" s="131"/>
      <c r="N39" s="134"/>
      <c r="O39" s="111"/>
    </row>
    <row r="40" spans="2:15">
      <c r="B40" s="107"/>
      <c r="C40" s="127"/>
      <c r="D40" s="110"/>
      <c r="E40" s="131"/>
      <c r="F40" s="117"/>
      <c r="G40" s="111"/>
      <c r="I40" s="107"/>
      <c r="J40" s="128" t="str">
        <f>J27</f>
        <v xml:space="preserve">Retail &amp; Entertainment </v>
      </c>
      <c r="K40" s="110"/>
      <c r="L40" s="9">
        <v>0.15</v>
      </c>
      <c r="M40" s="3">
        <v>3</v>
      </c>
      <c r="N40" s="134"/>
      <c r="O40" s="111"/>
    </row>
    <row r="41" spans="2:15">
      <c r="B41" s="107"/>
      <c r="C41" s="127" t="s">
        <v>66</v>
      </c>
      <c r="D41" s="110"/>
      <c r="E41" s="138">
        <f>SUM(E42:E46)</f>
        <v>0.04</v>
      </c>
      <c r="F41" s="122">
        <f>SUM(F42:F46)</f>
        <v>5616539.0639999993</v>
      </c>
      <c r="G41" s="111"/>
      <c r="I41" s="107"/>
      <c r="J41" s="128" t="str">
        <f>J28</f>
        <v>Entirtainment Offices</v>
      </c>
      <c r="K41" s="110"/>
      <c r="L41" s="9">
        <v>0.15</v>
      </c>
      <c r="M41" s="3">
        <v>3</v>
      </c>
      <c r="N41" s="134"/>
      <c r="O41" s="111"/>
    </row>
    <row r="42" spans="2:15">
      <c r="B42" s="107"/>
      <c r="C42" s="128" t="s">
        <v>67</v>
      </c>
      <c r="D42" s="110"/>
      <c r="E42" s="259">
        <v>2.5000000000000001E-2</v>
      </c>
      <c r="F42" s="258">
        <f t="shared" ref="F42" si="2">E42*$F$27</f>
        <v>3510336.915</v>
      </c>
      <c r="G42" s="111"/>
      <c r="I42" s="107"/>
      <c r="J42" s="109"/>
      <c r="K42" s="110"/>
      <c r="L42" s="131"/>
      <c r="M42" s="131"/>
      <c r="N42" s="134"/>
      <c r="O42" s="111"/>
    </row>
    <row r="43" spans="2:15" ht="14.4">
      <c r="B43" s="107"/>
      <c r="C43" s="128" t="s">
        <v>68</v>
      </c>
      <c r="D43" s="137"/>
      <c r="E43" s="260"/>
      <c r="F43" s="258"/>
      <c r="G43" s="111"/>
      <c r="I43" s="107"/>
      <c r="J43" s="126" t="s">
        <v>69</v>
      </c>
      <c r="K43" s="141" t="s">
        <v>70</v>
      </c>
      <c r="L43" s="141" t="s">
        <v>71</v>
      </c>
      <c r="M43" s="141" t="s">
        <v>72</v>
      </c>
      <c r="N43" s="141" t="s">
        <v>73</v>
      </c>
      <c r="O43" s="111"/>
    </row>
    <row r="44" spans="2:15">
      <c r="B44" s="107"/>
      <c r="C44" s="128" t="s">
        <v>74</v>
      </c>
      <c r="D44" s="137"/>
      <c r="E44" s="260"/>
      <c r="F44" s="258"/>
      <c r="G44" s="111"/>
      <c r="I44" s="107"/>
      <c r="J44" s="127" t="s">
        <v>27</v>
      </c>
      <c r="K44" s="110"/>
      <c r="L44" s="131"/>
      <c r="M44" s="131"/>
      <c r="N44" s="134"/>
      <c r="O44" s="111"/>
    </row>
    <row r="45" spans="2:15">
      <c r="B45" s="107"/>
      <c r="C45" s="128" t="s">
        <v>75</v>
      </c>
      <c r="D45" s="137"/>
      <c r="E45" s="261"/>
      <c r="F45" s="258"/>
      <c r="G45" s="111"/>
      <c r="I45" s="107"/>
      <c r="J45" s="128" t="str">
        <f>J35</f>
        <v>Hotel 32m - Studio</v>
      </c>
      <c r="K45" s="9">
        <v>0.45</v>
      </c>
      <c r="L45" s="9">
        <v>0.64</v>
      </c>
      <c r="M45" s="9">
        <v>0.67</v>
      </c>
      <c r="N45" s="9">
        <v>0.67</v>
      </c>
      <c r="O45" s="111"/>
    </row>
    <row r="46" spans="2:15">
      <c r="B46" s="107"/>
      <c r="C46" s="128" t="s">
        <v>76</v>
      </c>
      <c r="D46" s="137"/>
      <c r="E46" s="7">
        <v>1.4999999999999999E-2</v>
      </c>
      <c r="F46" s="134">
        <f t="shared" ref="F46" si="3">E46*$F$27</f>
        <v>2106202.1489999997</v>
      </c>
      <c r="G46" s="111"/>
      <c r="I46" s="107"/>
      <c r="J46" s="128" t="str">
        <f t="shared" ref="J46:J47" si="4">J36</f>
        <v>Hotel 48m - 1 Bed Room</v>
      </c>
      <c r="K46" s="9">
        <v>0.45</v>
      </c>
      <c r="L46" s="9">
        <v>0.64</v>
      </c>
      <c r="M46" s="9">
        <v>0.67</v>
      </c>
      <c r="N46" s="9">
        <v>0.67</v>
      </c>
      <c r="O46" s="111"/>
    </row>
    <row r="47" spans="2:15">
      <c r="B47" s="107"/>
      <c r="C47" s="128"/>
      <c r="D47" s="137"/>
      <c r="E47" s="139"/>
      <c r="F47" s="117"/>
      <c r="G47" s="111"/>
      <c r="I47" s="107"/>
      <c r="J47" s="128" t="str">
        <f t="shared" si="4"/>
        <v>Hotel 64m - 2 Bed Room</v>
      </c>
      <c r="K47" s="9">
        <v>0.45</v>
      </c>
      <c r="L47" s="9">
        <v>0.64</v>
      </c>
      <c r="M47" s="9">
        <v>0.67</v>
      </c>
      <c r="N47" s="9">
        <v>0.67</v>
      </c>
      <c r="O47" s="111"/>
    </row>
    <row r="48" spans="2:15">
      <c r="B48" s="107"/>
      <c r="C48" s="130" t="s">
        <v>77</v>
      </c>
      <c r="D48" s="135"/>
      <c r="E48" s="140">
        <f>E30+E37+E39+E41</f>
        <v>0.2</v>
      </c>
      <c r="F48" s="136">
        <f>F30+F37+F39+F41</f>
        <v>28082695.32</v>
      </c>
      <c r="G48" s="111"/>
      <c r="I48" s="107"/>
      <c r="J48" s="109"/>
      <c r="K48" s="110"/>
      <c r="L48" s="131"/>
      <c r="M48" s="131"/>
      <c r="N48" s="134"/>
      <c r="O48" s="111"/>
    </row>
    <row r="49" spans="2:15">
      <c r="B49" s="107"/>
      <c r="C49" s="116"/>
      <c r="D49" s="137"/>
      <c r="E49" s="117"/>
      <c r="F49" s="117"/>
      <c r="G49" s="111"/>
      <c r="I49" s="107"/>
      <c r="J49" s="127" t="s">
        <v>49</v>
      </c>
      <c r="K49" s="110"/>
      <c r="L49" s="131"/>
      <c r="M49" s="131"/>
      <c r="N49" s="134"/>
      <c r="O49" s="111"/>
    </row>
    <row r="50" spans="2:15">
      <c r="B50" s="107"/>
      <c r="C50" s="116" t="s">
        <v>78</v>
      </c>
      <c r="D50" s="137"/>
      <c r="E50" s="7">
        <v>0.15</v>
      </c>
      <c r="F50" s="134">
        <f>E50*($F$48+$F$27)</f>
        <v>25274425.787999999</v>
      </c>
      <c r="G50" s="111"/>
      <c r="I50" s="107"/>
      <c r="J50" s="128" t="str">
        <f t="shared" ref="J50:J51" si="5">J40</f>
        <v xml:space="preserve">Retail &amp; Entertainment </v>
      </c>
      <c r="K50" s="9">
        <v>0.65</v>
      </c>
      <c r="L50" s="9">
        <v>0.85</v>
      </c>
      <c r="M50" s="9">
        <v>0.95</v>
      </c>
      <c r="N50" s="9">
        <v>0.95</v>
      </c>
      <c r="O50" s="111"/>
    </row>
    <row r="51" spans="2:15">
      <c r="B51" s="107"/>
      <c r="C51" s="116" t="s">
        <v>79</v>
      </c>
      <c r="D51" s="137"/>
      <c r="E51" s="7">
        <v>0.03</v>
      </c>
      <c r="F51" s="134">
        <f>E51*$F$27</f>
        <v>4212404.2979999995</v>
      </c>
      <c r="G51" s="111"/>
      <c r="I51" s="107"/>
      <c r="J51" s="128" t="str">
        <f t="shared" si="5"/>
        <v>Entirtainment Offices</v>
      </c>
      <c r="K51" s="9">
        <v>0.65</v>
      </c>
      <c r="L51" s="9">
        <v>0.85</v>
      </c>
      <c r="M51" s="9">
        <v>0.95</v>
      </c>
      <c r="N51" s="9">
        <v>0.95</v>
      </c>
      <c r="O51" s="111"/>
    </row>
    <row r="52" spans="2:15" ht="12.6" thickBot="1">
      <c r="B52" s="107"/>
      <c r="C52" s="113" t="s">
        <v>80</v>
      </c>
      <c r="D52" s="114"/>
      <c r="E52" s="115"/>
      <c r="F52" s="124">
        <f>+F8+F27+F48+F51</f>
        <v>254957785.82549998</v>
      </c>
      <c r="G52" s="111"/>
      <c r="I52" s="108"/>
      <c r="J52" s="119"/>
      <c r="K52" s="120"/>
      <c r="L52" s="121"/>
      <c r="M52" s="121"/>
      <c r="N52" s="121"/>
      <c r="O52" s="112"/>
    </row>
    <row r="53" spans="2:15" ht="12.6" thickTop="1">
      <c r="B53" s="107"/>
      <c r="C53" s="116"/>
      <c r="D53" s="137"/>
      <c r="E53" s="117"/>
      <c r="F53" s="117"/>
      <c r="G53" s="111"/>
      <c r="K53" s="1"/>
    </row>
    <row r="54" spans="2:15" ht="12.6" thickBot="1">
      <c r="B54" s="107"/>
      <c r="C54" s="116" t="s">
        <v>81</v>
      </c>
      <c r="D54" s="137"/>
      <c r="E54" s="117"/>
      <c r="F54" s="117">
        <f>SUM(F27,F48,F50,F51,F8)</f>
        <v>280232211.6135</v>
      </c>
      <c r="G54" s="111"/>
      <c r="K54" s="1"/>
    </row>
    <row r="55" spans="2:15" ht="12.6" thickBot="1">
      <c r="B55" s="108"/>
      <c r="C55" s="119"/>
      <c r="D55" s="120"/>
      <c r="E55" s="121"/>
      <c r="F55" s="121"/>
      <c r="G55" s="112"/>
      <c r="I55" s="103"/>
      <c r="J55" s="104"/>
      <c r="K55" s="105"/>
      <c r="L55" s="125"/>
      <c r="M55" s="125"/>
      <c r="N55" s="125"/>
      <c r="O55" s="106"/>
    </row>
    <row r="56" spans="2:15" ht="14.4">
      <c r="E56" s="4"/>
      <c r="F56" s="4"/>
      <c r="I56" s="107"/>
      <c r="J56" s="257" t="s">
        <v>82</v>
      </c>
      <c r="K56" s="257"/>
      <c r="L56" s="257"/>
      <c r="M56" s="257"/>
      <c r="N56" s="257"/>
      <c r="O56" s="111"/>
    </row>
    <row r="57" spans="2:15" ht="12.6" thickBot="1">
      <c r="E57" s="4"/>
      <c r="F57" s="4"/>
      <c r="I57" s="107"/>
      <c r="J57" s="109"/>
      <c r="K57" s="110"/>
      <c r="L57" s="131"/>
      <c r="M57" s="131"/>
      <c r="N57" s="134"/>
      <c r="O57" s="111"/>
    </row>
    <row r="58" spans="2:15">
      <c r="B58" s="103"/>
      <c r="C58" s="104"/>
      <c r="D58" s="105"/>
      <c r="E58" s="125"/>
      <c r="F58" s="125"/>
      <c r="G58" s="106"/>
      <c r="I58" s="107"/>
      <c r="J58" s="127" t="s">
        <v>82</v>
      </c>
      <c r="K58" s="110"/>
      <c r="L58" s="131"/>
      <c r="M58" s="131"/>
      <c r="N58" s="122" t="s">
        <v>32</v>
      </c>
      <c r="O58" s="111"/>
    </row>
    <row r="59" spans="2:15" ht="14.4">
      <c r="B59" s="107"/>
      <c r="C59" s="257" t="s">
        <v>83</v>
      </c>
      <c r="D59" s="257"/>
      <c r="E59" s="257"/>
      <c r="F59" s="257"/>
      <c r="G59" s="111"/>
      <c r="I59" s="107"/>
      <c r="J59" s="109" t="s">
        <v>84</v>
      </c>
      <c r="K59" s="110"/>
      <c r="L59" s="110" t="s">
        <v>13</v>
      </c>
      <c r="M59" s="9">
        <v>0.2</v>
      </c>
      <c r="N59" s="134">
        <f>M59*SUM($N$22,$N$24)</f>
        <v>3286211.8365000002</v>
      </c>
      <c r="O59" s="111"/>
    </row>
    <row r="60" spans="2:15">
      <c r="B60" s="107"/>
      <c r="C60" s="109"/>
      <c r="D60" s="110"/>
      <c r="E60" s="131"/>
      <c r="F60" s="131"/>
      <c r="G60" s="111"/>
      <c r="I60" s="107"/>
      <c r="J60" s="109" t="s">
        <v>85</v>
      </c>
      <c r="K60" s="110"/>
      <c r="L60" s="110" t="s">
        <v>13</v>
      </c>
      <c r="M60" s="7">
        <v>0.02</v>
      </c>
      <c r="N60" s="134">
        <f>M60*SUM($N$22,$N$24,$N$29)</f>
        <v>623461.1836499999</v>
      </c>
      <c r="O60" s="111"/>
    </row>
    <row r="61" spans="2:15">
      <c r="B61" s="107"/>
      <c r="C61" s="109"/>
      <c r="D61" s="110"/>
      <c r="E61" s="132" t="s">
        <v>21</v>
      </c>
      <c r="F61" s="132" t="s">
        <v>86</v>
      </c>
      <c r="G61" s="111"/>
      <c r="I61" s="107"/>
      <c r="J61" s="109" t="s">
        <v>87</v>
      </c>
      <c r="K61" s="110"/>
      <c r="L61" s="110" t="s">
        <v>13</v>
      </c>
      <c r="M61" s="7">
        <v>0.03</v>
      </c>
      <c r="N61" s="134">
        <f>M61*SUM($N$22,$N$24)</f>
        <v>492931.77547499997</v>
      </c>
      <c r="O61" s="111"/>
    </row>
    <row r="62" spans="2:15">
      <c r="B62" s="107"/>
      <c r="C62" s="109" t="s">
        <v>88</v>
      </c>
      <c r="D62" s="110"/>
      <c r="E62" s="123">
        <f>1-E63</f>
        <v>0.7</v>
      </c>
      <c r="F62" s="131">
        <f>E62*$F$64</f>
        <v>182000000</v>
      </c>
      <c r="G62" s="111"/>
      <c r="I62" s="107"/>
      <c r="J62" s="130" t="s">
        <v>89</v>
      </c>
      <c r="K62" s="136"/>
      <c r="L62" s="140"/>
      <c r="M62" s="136"/>
      <c r="N62" s="136">
        <f>SUM(N59:N61)</f>
        <v>4402604.7956250003</v>
      </c>
      <c r="O62" s="111"/>
    </row>
    <row r="63" spans="2:15" ht="12.6" thickBot="1">
      <c r="B63" s="107"/>
      <c r="C63" s="109" t="s">
        <v>90</v>
      </c>
      <c r="D63" s="110"/>
      <c r="E63" s="7">
        <v>0.3</v>
      </c>
      <c r="F63" s="131">
        <f>E63*$F$64</f>
        <v>78000000</v>
      </c>
      <c r="G63" s="111"/>
      <c r="I63" s="108"/>
      <c r="J63" s="119"/>
      <c r="K63" s="120"/>
      <c r="L63" s="121"/>
      <c r="M63" s="121"/>
      <c r="N63" s="121"/>
      <c r="O63" s="112"/>
    </row>
    <row r="64" spans="2:15">
      <c r="B64" s="107"/>
      <c r="C64" s="130" t="s">
        <v>91</v>
      </c>
      <c r="D64" s="135"/>
      <c r="E64" s="140"/>
      <c r="F64" s="8">
        <f>CEILING(($F$52/10^6)+5,5)*10^6</f>
        <v>260000000</v>
      </c>
      <c r="G64" s="111"/>
      <c r="K64" s="1"/>
    </row>
    <row r="65" spans="2:15" ht="12.6" thickBot="1">
      <c r="B65" s="108"/>
      <c r="C65" s="119"/>
      <c r="D65" s="120"/>
      <c r="E65" s="121"/>
      <c r="F65" s="121"/>
      <c r="G65" s="112"/>
    </row>
    <row r="66" spans="2:15">
      <c r="E66" s="4"/>
      <c r="F66" s="4"/>
      <c r="I66" s="103"/>
      <c r="J66" s="104"/>
      <c r="K66" s="105"/>
      <c r="L66" s="125"/>
      <c r="M66" s="125"/>
      <c r="N66" s="125"/>
      <c r="O66" s="106"/>
    </row>
    <row r="67" spans="2:15" ht="14.4">
      <c r="E67" s="4"/>
      <c r="F67" s="4"/>
      <c r="I67" s="107"/>
      <c r="J67" s="257" t="s">
        <v>92</v>
      </c>
      <c r="K67" s="257"/>
      <c r="L67" s="257"/>
      <c r="M67" s="257"/>
      <c r="N67" s="257"/>
      <c r="O67" s="111"/>
    </row>
    <row r="68" spans="2:15">
      <c r="E68" s="4"/>
      <c r="F68" s="4"/>
      <c r="I68" s="107"/>
      <c r="J68" s="109"/>
      <c r="K68" s="110"/>
      <c r="L68" s="131"/>
      <c r="M68" s="131"/>
      <c r="N68" s="134"/>
      <c r="O68" s="111"/>
    </row>
    <row r="69" spans="2:15">
      <c r="E69" s="4"/>
      <c r="F69" s="4"/>
      <c r="I69" s="107"/>
      <c r="J69" s="109" t="s">
        <v>93</v>
      </c>
      <c r="K69" s="110"/>
      <c r="L69" s="145" t="s">
        <v>6</v>
      </c>
      <c r="M69" s="3">
        <v>10</v>
      </c>
      <c r="N69" s="134"/>
      <c r="O69" s="111"/>
    </row>
    <row r="70" spans="2:15">
      <c r="E70" s="4"/>
      <c r="F70" s="4"/>
      <c r="I70" s="107"/>
      <c r="J70" s="109" t="s">
        <v>94</v>
      </c>
      <c r="K70" s="110"/>
      <c r="L70" s="145" t="s">
        <v>6</v>
      </c>
      <c r="M70" s="3">
        <v>2</v>
      </c>
      <c r="N70" s="134"/>
      <c r="O70" s="111"/>
    </row>
    <row r="71" spans="2:15">
      <c r="E71" s="4"/>
      <c r="F71" s="4"/>
      <c r="I71" s="107"/>
      <c r="J71" s="109" t="s">
        <v>95</v>
      </c>
      <c r="K71" s="110"/>
      <c r="L71" s="110" t="s">
        <v>13</v>
      </c>
      <c r="M71" s="7">
        <v>0.08</v>
      </c>
      <c r="N71" s="134"/>
      <c r="O71" s="111"/>
    </row>
    <row r="72" spans="2:15" ht="12.6" thickBot="1">
      <c r="E72" s="4"/>
      <c r="F72" s="4"/>
      <c r="I72" s="108"/>
      <c r="J72" s="119"/>
      <c r="K72" s="120"/>
      <c r="L72" s="121"/>
      <c r="M72" s="121"/>
      <c r="N72" s="121"/>
      <c r="O72" s="112"/>
    </row>
    <row r="73" spans="2:15">
      <c r="E73" s="4"/>
      <c r="F73" s="4"/>
    </row>
    <row r="74" spans="2:15">
      <c r="E74" s="4"/>
      <c r="F74" s="4"/>
    </row>
    <row r="75" spans="2:15">
      <c r="E75" s="4"/>
      <c r="F75" s="4"/>
    </row>
    <row r="76" spans="2:15">
      <c r="E76" s="4"/>
      <c r="F76" s="4"/>
    </row>
    <row r="77" spans="2:15">
      <c r="E77" s="4"/>
      <c r="F77" s="4"/>
    </row>
    <row r="78" spans="2:15">
      <c r="E78" s="4"/>
      <c r="F78" s="4"/>
    </row>
    <row r="79" spans="2:15">
      <c r="E79" s="4"/>
      <c r="F79" s="4"/>
    </row>
    <row r="80" spans="2:15">
      <c r="E80" s="4"/>
      <c r="F80" s="4"/>
    </row>
    <row r="81" spans="5:20">
      <c r="E81" s="4"/>
      <c r="F81" s="4"/>
    </row>
    <row r="82" spans="5:20">
      <c r="E82" s="4"/>
      <c r="F82" s="4"/>
    </row>
    <row r="83" spans="5:20">
      <c r="E83" s="4"/>
      <c r="F83" s="4"/>
      <c r="S83" s="4"/>
      <c r="T83" s="4"/>
    </row>
    <row r="84" spans="5:20">
      <c r="E84" s="4"/>
      <c r="F84" s="4"/>
      <c r="S84" s="4"/>
      <c r="T84" s="4"/>
    </row>
    <row r="85" spans="5:20">
      <c r="E85" s="4"/>
      <c r="F85" s="4"/>
      <c r="S85" s="4"/>
      <c r="T85" s="4"/>
    </row>
    <row r="86" spans="5:20">
      <c r="E86" s="4"/>
      <c r="F86" s="4"/>
      <c r="S86" s="4"/>
      <c r="T86" s="4"/>
    </row>
    <row r="87" spans="5:20">
      <c r="E87" s="4"/>
      <c r="F87" s="4"/>
      <c r="L87" s="4"/>
      <c r="M87" s="4"/>
      <c r="N87" s="4"/>
      <c r="S87" s="4"/>
      <c r="T87" s="4"/>
    </row>
    <row r="88" spans="5:20">
      <c r="E88" s="4"/>
      <c r="F88" s="4"/>
      <c r="L88" s="4"/>
      <c r="M88" s="4"/>
      <c r="N88" s="4"/>
      <c r="S88" s="4"/>
      <c r="T88" s="4"/>
    </row>
    <row r="89" spans="5:20">
      <c r="E89" s="4"/>
      <c r="F89" s="4"/>
      <c r="L89" s="4"/>
      <c r="M89" s="4"/>
      <c r="N89" s="4"/>
      <c r="S89" s="4"/>
      <c r="T89" s="4"/>
    </row>
    <row r="90" spans="5:20">
      <c r="E90" s="4"/>
      <c r="F90" s="4"/>
      <c r="L90" s="4"/>
      <c r="M90" s="4"/>
      <c r="N90" s="4"/>
      <c r="S90" s="4"/>
      <c r="T90" s="4"/>
    </row>
    <row r="91" spans="5:20">
      <c r="E91" s="4"/>
      <c r="F91" s="4"/>
      <c r="L91" s="4"/>
      <c r="M91" s="4"/>
      <c r="N91" s="4"/>
      <c r="S91" s="4"/>
      <c r="T91" s="4"/>
    </row>
    <row r="92" spans="5:20">
      <c r="E92" s="4"/>
      <c r="F92" s="4"/>
      <c r="L92" s="4"/>
      <c r="M92" s="4"/>
      <c r="N92" s="4"/>
      <c r="S92" s="4"/>
      <c r="T92" s="4"/>
    </row>
    <row r="93" spans="5:20">
      <c r="E93" s="4"/>
      <c r="F93" s="4"/>
      <c r="L93" s="4"/>
      <c r="M93" s="4"/>
      <c r="N93" s="4"/>
      <c r="S93" s="4"/>
      <c r="T93" s="4"/>
    </row>
    <row r="94" spans="5:20">
      <c r="E94" s="4"/>
      <c r="F94" s="4"/>
      <c r="L94" s="4"/>
      <c r="M94" s="4"/>
      <c r="N94" s="4"/>
      <c r="S94" s="4"/>
      <c r="T94" s="4"/>
    </row>
    <row r="95" spans="5:20">
      <c r="E95" s="4"/>
      <c r="F95" s="4"/>
      <c r="L95" s="4"/>
      <c r="M95" s="4"/>
      <c r="N95" s="4"/>
      <c r="S95" s="4"/>
      <c r="T95" s="4"/>
    </row>
    <row r="96" spans="5:20">
      <c r="E96" s="4"/>
      <c r="F96" s="4"/>
      <c r="L96" s="4"/>
      <c r="M96" s="4"/>
      <c r="N96" s="4"/>
      <c r="S96" s="4"/>
      <c r="T96" s="4"/>
    </row>
    <row r="97" spans="5:20">
      <c r="E97" s="4"/>
      <c r="F97" s="4"/>
      <c r="L97" s="4"/>
      <c r="M97" s="4"/>
      <c r="N97" s="4"/>
      <c r="S97" s="4"/>
      <c r="T97" s="4"/>
    </row>
    <row r="98" spans="5:20">
      <c r="E98" s="4"/>
      <c r="F98" s="4"/>
      <c r="L98" s="4"/>
      <c r="M98" s="4"/>
      <c r="N98" s="4"/>
      <c r="S98" s="4"/>
      <c r="T98" s="4"/>
    </row>
    <row r="99" spans="5:20">
      <c r="E99" s="4"/>
      <c r="F99" s="4"/>
      <c r="L99" s="4"/>
      <c r="M99" s="4"/>
      <c r="N99" s="4"/>
      <c r="S99" s="4"/>
      <c r="T99" s="4"/>
    </row>
    <row r="100" spans="5:20">
      <c r="E100" s="4"/>
      <c r="F100" s="4"/>
      <c r="L100" s="4"/>
      <c r="M100" s="4"/>
      <c r="N100" s="4"/>
      <c r="S100" s="4"/>
      <c r="T100" s="4"/>
    </row>
    <row r="101" spans="5:20">
      <c r="E101" s="4"/>
      <c r="F101" s="4"/>
      <c r="L101" s="4"/>
      <c r="M101" s="4"/>
      <c r="N101" s="4"/>
      <c r="S101" s="4"/>
      <c r="T101" s="4"/>
    </row>
    <row r="102" spans="5:20">
      <c r="E102" s="4"/>
      <c r="F102" s="4"/>
      <c r="L102" s="4"/>
      <c r="M102" s="4"/>
      <c r="N102" s="4"/>
      <c r="S102" s="4"/>
      <c r="T102" s="4"/>
    </row>
    <row r="103" spans="5:20">
      <c r="E103" s="4"/>
      <c r="F103" s="4"/>
      <c r="L103" s="4"/>
      <c r="M103" s="4"/>
      <c r="N103" s="4"/>
      <c r="S103" s="4"/>
      <c r="T103" s="4"/>
    </row>
    <row r="104" spans="5:20">
      <c r="E104" s="4"/>
      <c r="F104" s="4"/>
      <c r="L104" s="4"/>
      <c r="M104" s="4"/>
      <c r="N104" s="4"/>
      <c r="S104" s="4"/>
      <c r="T104" s="4"/>
    </row>
    <row r="105" spans="5:20">
      <c r="E105" s="4"/>
      <c r="F105" s="4"/>
      <c r="L105" s="4"/>
      <c r="M105" s="4"/>
      <c r="N105" s="4"/>
      <c r="S105" s="4"/>
      <c r="T105" s="4"/>
    </row>
    <row r="106" spans="5:20">
      <c r="E106" s="4"/>
      <c r="F106" s="4"/>
      <c r="L106" s="4"/>
      <c r="M106" s="4"/>
      <c r="N106" s="4"/>
      <c r="S106" s="4"/>
      <c r="T106" s="4"/>
    </row>
    <row r="107" spans="5:20">
      <c r="E107" s="4"/>
      <c r="F107" s="4"/>
      <c r="L107" s="4"/>
      <c r="M107" s="4"/>
      <c r="N107" s="4"/>
      <c r="S107" s="4"/>
      <c r="T107" s="4"/>
    </row>
    <row r="108" spans="5:20">
      <c r="E108" s="4"/>
      <c r="F108" s="4"/>
      <c r="L108" s="4"/>
      <c r="M108" s="4"/>
      <c r="N108" s="4"/>
      <c r="S108" s="4"/>
      <c r="T108" s="4"/>
    </row>
    <row r="109" spans="5:20">
      <c r="E109" s="4"/>
      <c r="F109" s="4"/>
      <c r="L109" s="4"/>
      <c r="M109" s="4"/>
      <c r="N109" s="4"/>
      <c r="S109" s="4"/>
      <c r="T109" s="4"/>
    </row>
    <row r="110" spans="5:20">
      <c r="E110" s="4"/>
      <c r="F110" s="4"/>
      <c r="L110" s="4"/>
      <c r="M110" s="4"/>
      <c r="N110" s="4"/>
      <c r="S110" s="4"/>
      <c r="T110" s="4"/>
    </row>
    <row r="111" spans="5:20">
      <c r="E111" s="4"/>
      <c r="F111" s="4"/>
      <c r="L111" s="4"/>
      <c r="M111" s="4"/>
      <c r="N111" s="4"/>
      <c r="S111" s="4"/>
      <c r="T111" s="4"/>
    </row>
    <row r="112" spans="5:20">
      <c r="E112" s="4"/>
      <c r="F112" s="4"/>
      <c r="L112" s="4"/>
      <c r="M112" s="4"/>
      <c r="N112" s="4"/>
      <c r="S112" s="4"/>
      <c r="T112" s="4"/>
    </row>
    <row r="113" spans="5:20">
      <c r="E113" s="4"/>
      <c r="F113" s="4"/>
      <c r="L113" s="4"/>
      <c r="M113" s="4"/>
      <c r="N113" s="4"/>
      <c r="S113" s="4"/>
      <c r="T113" s="4"/>
    </row>
    <row r="114" spans="5:20">
      <c r="E114" s="4"/>
      <c r="F114" s="4"/>
      <c r="L114" s="4"/>
      <c r="M114" s="4"/>
      <c r="N114" s="4"/>
      <c r="S114" s="4"/>
      <c r="T114" s="4"/>
    </row>
    <row r="115" spans="5:20">
      <c r="E115" s="4"/>
      <c r="F115" s="4"/>
      <c r="L115" s="4"/>
      <c r="M115" s="4"/>
      <c r="N115" s="4"/>
      <c r="S115" s="4"/>
      <c r="T115" s="4"/>
    </row>
    <row r="116" spans="5:20">
      <c r="E116" s="4"/>
      <c r="F116" s="4"/>
      <c r="L116" s="4"/>
      <c r="M116" s="4"/>
      <c r="N116" s="4"/>
      <c r="S116" s="4"/>
      <c r="T116" s="4"/>
    </row>
    <row r="117" spans="5:20">
      <c r="E117" s="4"/>
      <c r="F117" s="4"/>
      <c r="L117" s="4"/>
      <c r="M117" s="4"/>
      <c r="N117" s="4"/>
      <c r="S117" s="4"/>
      <c r="T117" s="4"/>
    </row>
    <row r="118" spans="5:20">
      <c r="E118" s="4"/>
      <c r="F118" s="4"/>
      <c r="L118" s="4"/>
      <c r="M118" s="4"/>
      <c r="N118" s="4"/>
      <c r="S118" s="4"/>
      <c r="T118" s="4"/>
    </row>
    <row r="119" spans="5:20">
      <c r="E119" s="4"/>
      <c r="F119" s="4"/>
      <c r="L119" s="4"/>
      <c r="M119" s="4"/>
      <c r="N119" s="4"/>
      <c r="S119" s="4"/>
      <c r="T119" s="4"/>
    </row>
    <row r="120" spans="5:20">
      <c r="E120" s="4"/>
      <c r="F120" s="4"/>
      <c r="L120" s="4"/>
      <c r="M120" s="4"/>
      <c r="N120" s="4"/>
      <c r="S120" s="4"/>
      <c r="T120" s="4"/>
    </row>
    <row r="121" spans="5:20">
      <c r="E121" s="4"/>
      <c r="F121" s="4"/>
      <c r="L121" s="4"/>
      <c r="M121" s="4"/>
      <c r="N121" s="4"/>
      <c r="S121" s="4"/>
      <c r="T121" s="4"/>
    </row>
    <row r="122" spans="5:20">
      <c r="E122" s="4"/>
      <c r="F122" s="4"/>
      <c r="L122" s="4"/>
      <c r="M122" s="4"/>
      <c r="N122" s="4"/>
      <c r="S122" s="4"/>
      <c r="T122" s="4"/>
    </row>
    <row r="123" spans="5:20">
      <c r="E123" s="4"/>
      <c r="F123" s="4"/>
      <c r="L123" s="4"/>
      <c r="M123" s="4"/>
      <c r="N123" s="4"/>
      <c r="S123" s="4"/>
      <c r="T123" s="4"/>
    </row>
    <row r="124" spans="5:20">
      <c r="E124" s="4"/>
      <c r="F124" s="4"/>
      <c r="L124" s="4"/>
      <c r="M124" s="4"/>
      <c r="N124" s="4"/>
      <c r="S124" s="4"/>
      <c r="T124" s="4"/>
    </row>
    <row r="125" spans="5:20">
      <c r="E125" s="4"/>
      <c r="F125" s="4"/>
      <c r="L125" s="4"/>
      <c r="M125" s="4"/>
      <c r="N125" s="4"/>
      <c r="S125" s="4"/>
      <c r="T125" s="4"/>
    </row>
    <row r="126" spans="5:20">
      <c r="E126" s="4"/>
      <c r="F126" s="4"/>
      <c r="L126" s="4"/>
      <c r="M126" s="4"/>
      <c r="N126" s="4"/>
      <c r="S126" s="4"/>
      <c r="T126" s="4"/>
    </row>
    <row r="127" spans="5:20">
      <c r="E127" s="4"/>
      <c r="F127" s="4"/>
      <c r="L127" s="4"/>
      <c r="M127" s="4"/>
      <c r="N127" s="4"/>
      <c r="S127" s="4"/>
      <c r="T127" s="4"/>
    </row>
    <row r="128" spans="5:20">
      <c r="E128" s="4"/>
      <c r="F128" s="4"/>
      <c r="L128" s="4"/>
      <c r="M128" s="4"/>
      <c r="N128" s="4"/>
      <c r="S128" s="4"/>
      <c r="T128" s="4"/>
    </row>
    <row r="129" spans="5:20">
      <c r="E129" s="4"/>
      <c r="F129" s="4"/>
      <c r="L129" s="4"/>
      <c r="M129" s="4"/>
      <c r="N129" s="4"/>
      <c r="S129" s="4"/>
      <c r="T129" s="4"/>
    </row>
    <row r="130" spans="5:20">
      <c r="E130" s="4"/>
      <c r="F130" s="4"/>
      <c r="L130" s="4"/>
      <c r="M130" s="4"/>
      <c r="N130" s="4"/>
      <c r="S130" s="4"/>
      <c r="T130" s="4"/>
    </row>
    <row r="131" spans="5:20">
      <c r="E131" s="4"/>
      <c r="F131" s="4"/>
      <c r="L131" s="4"/>
      <c r="M131" s="4"/>
      <c r="N131" s="4"/>
      <c r="S131" s="4"/>
      <c r="T131" s="4"/>
    </row>
    <row r="132" spans="5:20">
      <c r="E132" s="4"/>
      <c r="F132" s="4"/>
      <c r="L132" s="4"/>
      <c r="M132" s="4"/>
      <c r="N132" s="4"/>
      <c r="S132" s="4"/>
      <c r="T132" s="4"/>
    </row>
  </sheetData>
  <mergeCells count="11">
    <mergeCell ref="F42:F45"/>
    <mergeCell ref="C3:F3"/>
    <mergeCell ref="C15:F15"/>
    <mergeCell ref="C59:F59"/>
    <mergeCell ref="E42:E45"/>
    <mergeCell ref="R15:T15"/>
    <mergeCell ref="J56:N56"/>
    <mergeCell ref="J67:N67"/>
    <mergeCell ref="J15:N15"/>
    <mergeCell ref="J3:N3"/>
    <mergeCell ref="R3:T3"/>
  </mergeCells>
  <phoneticPr fontId="6" type="noConversion"/>
  <pageMargins left="0.7" right="0.7" top="0.75" bottom="0.75" header="0.3" footer="0.3"/>
  <pageSetup paperSize="9" orientation="portrait" r:id="rId1"/>
  <ignoredErrors>
    <ignoredError sqref="N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0534-6155-4CE9-B3DE-A1DEABFC31BA}">
  <dimension ref="A2:AG194"/>
  <sheetViews>
    <sheetView showGridLines="0" workbookViewId="0">
      <pane xSplit="3" ySplit="2" topLeftCell="D38" activePane="bottomRight" state="frozen"/>
      <selection pane="topRight" activeCell="D1" sqref="D1"/>
      <selection pane="bottomLeft" activeCell="A3" sqref="A3"/>
      <selection pane="bottomRight" activeCell="E47" sqref="E47"/>
    </sheetView>
  </sheetViews>
  <sheetFormatPr defaultColWidth="0" defaultRowHeight="12"/>
  <cols>
    <col min="1" max="1" width="3" style="152" bestFit="1" customWidth="1"/>
    <col min="2" max="2" width="24.5546875" style="152" bestFit="1" customWidth="1"/>
    <col min="3" max="3" width="13.33203125" style="152" bestFit="1" customWidth="1"/>
    <col min="4" max="5" width="14.33203125" style="152" bestFit="1" customWidth="1"/>
    <col min="6" max="30" width="13.33203125" style="152" bestFit="1" customWidth="1"/>
    <col min="31" max="31" width="14.5546875" style="152" bestFit="1" customWidth="1"/>
    <col min="32" max="33" width="9.109375" style="152" customWidth="1"/>
    <col min="34" max="16384" width="9.109375" style="152" hidden="1"/>
  </cols>
  <sheetData>
    <row r="2" spans="1:31" s="151" customFormat="1" ht="14.4">
      <c r="A2" s="152" t="s">
        <v>96</v>
      </c>
      <c r="B2" s="147"/>
      <c r="C2" s="148" t="s">
        <v>97</v>
      </c>
      <c r="D2" s="149" t="s">
        <v>70</v>
      </c>
      <c r="E2" s="149" t="s">
        <v>71</v>
      </c>
      <c r="F2" s="150" t="s">
        <v>72</v>
      </c>
      <c r="G2" s="150" t="s">
        <v>98</v>
      </c>
      <c r="H2" s="150" t="s">
        <v>99</v>
      </c>
      <c r="I2" s="150" t="s">
        <v>100</v>
      </c>
      <c r="J2" s="150" t="s">
        <v>101</v>
      </c>
      <c r="K2" s="150" t="s">
        <v>102</v>
      </c>
      <c r="L2" s="150" t="s">
        <v>103</v>
      </c>
      <c r="M2" s="150" t="s">
        <v>104</v>
      </c>
      <c r="N2" s="150" t="s">
        <v>105</v>
      </c>
      <c r="O2" s="150" t="s">
        <v>106</v>
      </c>
      <c r="P2" s="150" t="s">
        <v>107</v>
      </c>
      <c r="Q2" s="150" t="s">
        <v>108</v>
      </c>
      <c r="R2" s="150" t="s">
        <v>109</v>
      </c>
      <c r="S2" s="150" t="s">
        <v>110</v>
      </c>
      <c r="T2" s="150" t="s">
        <v>111</v>
      </c>
      <c r="U2" s="150" t="s">
        <v>112</v>
      </c>
      <c r="V2" s="150" t="s">
        <v>113</v>
      </c>
      <c r="W2" s="150" t="s">
        <v>114</v>
      </c>
      <c r="X2" s="150" t="s">
        <v>115</v>
      </c>
      <c r="Y2" s="150" t="s">
        <v>116</v>
      </c>
      <c r="Z2" s="150" t="s">
        <v>117</v>
      </c>
      <c r="AA2" s="150" t="s">
        <v>118</v>
      </c>
      <c r="AB2" s="150" t="s">
        <v>119</v>
      </c>
      <c r="AC2" s="150" t="s">
        <v>120</v>
      </c>
      <c r="AD2" s="150" t="s">
        <v>121</v>
      </c>
      <c r="AE2" s="149" t="s">
        <v>122</v>
      </c>
    </row>
    <row r="3" spans="1:31">
      <c r="D3" s="153"/>
      <c r="E3" s="154"/>
      <c r="AE3" s="214"/>
    </row>
    <row r="4" spans="1:31" s="151" customFormat="1" ht="14.4">
      <c r="A4" s="152" t="s">
        <v>96</v>
      </c>
      <c r="B4" s="155"/>
      <c r="C4" s="148" t="s">
        <v>97</v>
      </c>
      <c r="D4" s="149" t="s">
        <v>123</v>
      </c>
      <c r="E4" s="149" t="s">
        <v>124</v>
      </c>
      <c r="F4" s="150" t="s">
        <v>125</v>
      </c>
      <c r="G4" s="150" t="s">
        <v>126</v>
      </c>
      <c r="H4" s="150" t="s">
        <v>127</v>
      </c>
      <c r="I4" s="150" t="s">
        <v>128</v>
      </c>
      <c r="J4" s="150" t="s">
        <v>129</v>
      </c>
      <c r="K4" s="150" t="s">
        <v>130</v>
      </c>
      <c r="L4" s="150" t="s">
        <v>131</v>
      </c>
      <c r="M4" s="150" t="s">
        <v>132</v>
      </c>
      <c r="N4" s="150" t="s">
        <v>133</v>
      </c>
      <c r="O4" s="150" t="s">
        <v>134</v>
      </c>
      <c r="P4" s="150" t="s">
        <v>135</v>
      </c>
      <c r="Q4" s="150" t="s">
        <v>136</v>
      </c>
      <c r="R4" s="150" t="s">
        <v>137</v>
      </c>
      <c r="S4" s="150" t="s">
        <v>138</v>
      </c>
      <c r="T4" s="150" t="s">
        <v>139</v>
      </c>
      <c r="U4" s="150" t="s">
        <v>140</v>
      </c>
      <c r="V4" s="150" t="s">
        <v>141</v>
      </c>
      <c r="W4" s="150" t="s">
        <v>142</v>
      </c>
      <c r="X4" s="150" t="s">
        <v>143</v>
      </c>
      <c r="Y4" s="150" t="s">
        <v>144</v>
      </c>
      <c r="Z4" s="150" t="s">
        <v>145</v>
      </c>
      <c r="AA4" s="150" t="s">
        <v>146</v>
      </c>
      <c r="AB4" s="150" t="s">
        <v>147</v>
      </c>
      <c r="AC4" s="150" t="s">
        <v>148</v>
      </c>
      <c r="AD4" s="150" t="s">
        <v>149</v>
      </c>
      <c r="AE4" s="149"/>
    </row>
    <row r="5" spans="1:31">
      <c r="D5" s="153"/>
      <c r="E5" s="154"/>
      <c r="AE5" s="214"/>
    </row>
    <row r="6" spans="1:31">
      <c r="B6" s="156" t="s">
        <v>150</v>
      </c>
      <c r="C6" s="156"/>
      <c r="D6" s="157">
        <f>-Assumptions!F8</f>
        <v>-82249209.607500002</v>
      </c>
      <c r="E6" s="154"/>
      <c r="AE6" s="214"/>
    </row>
    <row r="7" spans="1:31">
      <c r="D7" s="153"/>
      <c r="E7" s="154"/>
      <c r="AE7" s="214"/>
    </row>
    <row r="8" spans="1:31">
      <c r="B8" s="158" t="s">
        <v>23</v>
      </c>
      <c r="D8" s="146">
        <f>1/Assumptions!$M$5</f>
        <v>0.5</v>
      </c>
      <c r="E8" s="146">
        <f>1-D8</f>
        <v>0.5</v>
      </c>
      <c r="AE8" s="214"/>
    </row>
    <row r="9" spans="1:31">
      <c r="B9" s="158"/>
      <c r="D9" s="153"/>
      <c r="E9" s="154"/>
      <c r="AE9" s="214"/>
    </row>
    <row r="10" spans="1:31">
      <c r="B10" s="156" t="str">
        <f>Assumptions!C17</f>
        <v>Construction Cost</v>
      </c>
      <c r="D10" s="153"/>
      <c r="E10" s="154"/>
      <c r="AE10" s="214"/>
    </row>
    <row r="11" spans="1:31">
      <c r="B11" s="159" t="str">
        <f>Assumptions!C19</f>
        <v>Entirtainment Offices</v>
      </c>
      <c r="D11" s="153">
        <f>-Assumptions!$F19*D$8</f>
        <v>-8800000</v>
      </c>
      <c r="E11" s="154">
        <f>-Assumptions!$F19*E$8</f>
        <v>-8800000</v>
      </c>
      <c r="AE11" s="214"/>
    </row>
    <row r="12" spans="1:31">
      <c r="B12" s="159" t="str">
        <f>Assumptions!C20</f>
        <v xml:space="preserve">Retail &amp; Entertainment </v>
      </c>
      <c r="D12" s="153">
        <f>-Assumptions!$F20*D$8</f>
        <v>-14640000</v>
      </c>
      <c r="E12" s="154">
        <f>-Assumptions!$F20*E$8</f>
        <v>-14640000</v>
      </c>
      <c r="AE12" s="214"/>
    </row>
    <row r="13" spans="1:31">
      <c r="B13" s="159" t="str">
        <f>Assumptions!C21</f>
        <v>(120 key) Hotel (32 SQM GLA)</v>
      </c>
      <c r="D13" s="153">
        <f>-Assumptions!$F21*D$8</f>
        <v>-15080000</v>
      </c>
      <c r="E13" s="154">
        <f>-Assumptions!$F21*E$8</f>
        <v>-15080000</v>
      </c>
      <c r="AE13" s="214"/>
    </row>
    <row r="14" spans="1:31">
      <c r="B14" s="159" t="str">
        <f>Assumptions!C22</f>
        <v>Landscaping &amp; Surface Parking</v>
      </c>
      <c r="D14" s="153">
        <f>-Assumptions!$F22*D$8</f>
        <v>-8471658.0000000019</v>
      </c>
      <c r="E14" s="154">
        <f>-Assumptions!$F22*E$8</f>
        <v>-8471658.0000000019</v>
      </c>
      <c r="AE14" s="214"/>
    </row>
    <row r="15" spans="1:31">
      <c r="B15" s="159" t="str">
        <f>Assumptions!C23</f>
        <v>Basement</v>
      </c>
      <c r="D15" s="153">
        <f>-Assumptions!$F23*D$8</f>
        <v>-18000000</v>
      </c>
      <c r="E15" s="154">
        <f>-Assumptions!$F23*E$8</f>
        <v>-18000000</v>
      </c>
      <c r="AE15" s="214"/>
    </row>
    <row r="16" spans="1:31">
      <c r="B16" s="159" t="str">
        <f>Assumptions!C24</f>
        <v>Provision for Services at 7% from land</v>
      </c>
      <c r="D16" s="153">
        <f>-Assumptions!$F24*D$8</f>
        <v>-2965080.3000000007</v>
      </c>
      <c r="E16" s="154">
        <f>-Assumptions!$F24*E$8</f>
        <v>-2965080.3000000007</v>
      </c>
      <c r="AE16" s="214"/>
    </row>
    <row r="17" spans="2:31">
      <c r="B17" s="159" t="str">
        <f>Assumptions!C25</f>
        <v>Enabling &amp; Permits</v>
      </c>
      <c r="D17" s="153">
        <f>-Assumptions!$F25*100%</f>
        <v>-4500000</v>
      </c>
      <c r="E17" s="154"/>
      <c r="AE17" s="214"/>
    </row>
    <row r="18" spans="2:31">
      <c r="D18" s="153"/>
      <c r="E18" s="154"/>
      <c r="AE18" s="214"/>
    </row>
    <row r="19" spans="2:31">
      <c r="B19" s="156" t="s">
        <v>52</v>
      </c>
      <c r="D19" s="153"/>
      <c r="E19" s="154"/>
      <c r="AE19" s="214"/>
    </row>
    <row r="20" spans="2:31">
      <c r="B20" s="160" t="str">
        <f>Assumptions!C30</f>
        <v>Design &amp; Consultations</v>
      </c>
      <c r="D20" s="153"/>
      <c r="E20" s="154"/>
      <c r="AE20" s="214"/>
    </row>
    <row r="21" spans="2:31">
      <c r="B21" s="254" t="str">
        <f>Assumptions!C31</f>
        <v>Architecture &amp; Façade</v>
      </c>
      <c r="D21" s="153">
        <f>-Assumptions!$F31*100%</f>
        <v>-1053101.0744999999</v>
      </c>
      <c r="E21" s="154"/>
      <c r="AE21" s="214"/>
    </row>
    <row r="22" spans="2:31">
      <c r="B22" s="254" t="str">
        <f>Assumptions!C32</f>
        <v>Interior Design &amp; Way finding</v>
      </c>
      <c r="D22" s="153">
        <f>-Assumptions!$F32*100%</f>
        <v>-702067.38300000003</v>
      </c>
      <c r="E22" s="154"/>
      <c r="AE22" s="214"/>
    </row>
    <row r="23" spans="2:31">
      <c r="B23" s="254" t="str">
        <f>Assumptions!C33</f>
        <v>Engineering Scope</v>
      </c>
      <c r="D23" s="153">
        <f>-Assumptions!$F33*100%</f>
        <v>-702067.38300000003</v>
      </c>
      <c r="E23" s="154"/>
      <c r="AE23" s="214"/>
    </row>
    <row r="24" spans="2:31">
      <c r="B24" s="254" t="str">
        <f>Assumptions!C34</f>
        <v>General Studies</v>
      </c>
      <c r="D24" s="153">
        <f>-Assumptions!$F34*100%</f>
        <v>-1053101.0744999999</v>
      </c>
      <c r="E24" s="154"/>
      <c r="AE24" s="214"/>
    </row>
    <row r="25" spans="2:31">
      <c r="B25" s="254" t="str">
        <f>Assumptions!C35</f>
        <v>Lighting/Landscape</v>
      </c>
      <c r="D25" s="153">
        <f>-Assumptions!$F35*100%</f>
        <v>-702067.38300000003</v>
      </c>
      <c r="E25" s="154"/>
      <c r="AE25" s="214"/>
    </row>
    <row r="26" spans="2:31">
      <c r="B26" s="160" t="str">
        <f>Assumptions!C37</f>
        <v>Developer Fee</v>
      </c>
      <c r="D26" s="153">
        <f>SUM(D11:D17)*Assumptions!$E37</f>
        <v>-7245673.8300000001</v>
      </c>
      <c r="E26" s="154">
        <f>SUM(E11:E17)*Assumptions!$E37</f>
        <v>-6795673.8300000001</v>
      </c>
      <c r="AE26" s="214"/>
    </row>
    <row r="27" spans="2:31">
      <c r="B27" s="160" t="str">
        <f>Assumptions!C39</f>
        <v>Supervision</v>
      </c>
      <c r="D27" s="153">
        <f>SUM(D11:D17)*Assumptions!$E39</f>
        <v>-2173702.1489999997</v>
      </c>
      <c r="E27" s="154">
        <f>SUM(E11:E17)*Assumptions!$E39</f>
        <v>-2038702.1489999997</v>
      </c>
      <c r="AE27" s="214"/>
    </row>
    <row r="28" spans="2:31">
      <c r="B28" s="160" t="str">
        <f>Assumptions!C41</f>
        <v>Sales &amp; Marketing</v>
      </c>
      <c r="D28" s="153">
        <f>-Assumptions!$F41*D$8</f>
        <v>-2808269.5319999997</v>
      </c>
      <c r="E28" s="154">
        <f>-Assumptions!$F41*E$8</f>
        <v>-2808269.5319999997</v>
      </c>
      <c r="AE28" s="214"/>
    </row>
    <row r="29" spans="2:31">
      <c r="B29" s="156" t="str">
        <f>Assumptions!C51</f>
        <v>Contingency</v>
      </c>
      <c r="D29" s="153">
        <f>Assumptions!$E$51*SUM(Financials!D11:D17)</f>
        <v>-2173702.1489999997</v>
      </c>
      <c r="E29" s="154">
        <f>Assumptions!$E$51*SUM(Financials!E11:E17)</f>
        <v>-2038702.1489999997</v>
      </c>
      <c r="AE29" s="214"/>
    </row>
    <row r="30" spans="2:31">
      <c r="B30" s="161" t="s">
        <v>151</v>
      </c>
      <c r="C30" s="162"/>
      <c r="D30" s="163">
        <f>SUM(D11:D29,D6)</f>
        <v>-173319699.8655</v>
      </c>
      <c r="E30" s="164">
        <f>SUM(E11:E29,E6)</f>
        <v>-81638085.960000008</v>
      </c>
      <c r="AE30" s="214"/>
    </row>
    <row r="31" spans="2:31">
      <c r="D31" s="153"/>
      <c r="E31" s="154"/>
      <c r="F31" s="212"/>
      <c r="AE31" s="214"/>
    </row>
    <row r="32" spans="2:31">
      <c r="B32" s="152" t="s">
        <v>35</v>
      </c>
      <c r="D32" s="153">
        <f>D114</f>
        <v>0</v>
      </c>
      <c r="E32" s="154">
        <f t="shared" ref="E32:W32" si="0">E114</f>
        <v>0</v>
      </c>
      <c r="F32" s="152">
        <f t="shared" si="0"/>
        <v>31173059.182499997</v>
      </c>
      <c r="G32" s="152">
        <f t="shared" si="0"/>
        <v>42646617.504000001</v>
      </c>
      <c r="H32" s="152">
        <f t="shared" si="0"/>
        <v>46010021.449500002</v>
      </c>
      <c r="I32" s="152">
        <f t="shared" si="0"/>
        <v>52911524.666924998</v>
      </c>
      <c r="J32" s="152">
        <f t="shared" si="0"/>
        <v>52911524.666924998</v>
      </c>
      <c r="K32" s="152">
        <f t="shared" si="0"/>
        <v>52911524.666924998</v>
      </c>
      <c r="L32" s="152">
        <f t="shared" si="0"/>
        <v>60848253.366963744</v>
      </c>
      <c r="M32" s="152">
        <f t="shared" si="0"/>
        <v>60848253.366963744</v>
      </c>
      <c r="N32" s="152">
        <f t="shared" si="0"/>
        <v>60848253.366963744</v>
      </c>
      <c r="O32" s="152">
        <f t="shared" si="0"/>
        <v>69975491.372008294</v>
      </c>
      <c r="P32" s="152">
        <f t="shared" si="0"/>
        <v>69975491.372008294</v>
      </c>
      <c r="Q32" s="152">
        <f t="shared" si="0"/>
        <v>69975491.372008294</v>
      </c>
      <c r="R32" s="152">
        <f t="shared" si="0"/>
        <v>80471815.077809528</v>
      </c>
      <c r="S32" s="152">
        <f t="shared" si="0"/>
        <v>80471815.077809528</v>
      </c>
      <c r="T32" s="152">
        <f t="shared" si="0"/>
        <v>80471815.077809528</v>
      </c>
      <c r="U32" s="152">
        <f t="shared" si="0"/>
        <v>92542587.339480966</v>
      </c>
      <c r="V32" s="152">
        <f t="shared" si="0"/>
        <v>92542587.339480966</v>
      </c>
      <c r="W32" s="152">
        <f t="shared" si="0"/>
        <v>92542587.339480966</v>
      </c>
      <c r="X32" s="152">
        <f t="shared" ref="X32:AA32" si="1">X114</f>
        <v>106423975.44040309</v>
      </c>
      <c r="Y32" s="152">
        <f t="shared" si="1"/>
        <v>106423975.44040309</v>
      </c>
      <c r="Z32" s="152">
        <f t="shared" si="1"/>
        <v>106423975.44040309</v>
      </c>
      <c r="AA32" s="152">
        <f t="shared" si="1"/>
        <v>122387571.75646356</v>
      </c>
      <c r="AB32" s="152">
        <f t="shared" ref="AB32:AD32" si="2">AB114</f>
        <v>122387571.75646356</v>
      </c>
      <c r="AC32" s="152">
        <f t="shared" si="2"/>
        <v>122387571.75646356</v>
      </c>
      <c r="AD32" s="152">
        <f t="shared" si="2"/>
        <v>140745707.51993307</v>
      </c>
      <c r="AE32" s="214"/>
    </row>
    <row r="33" spans="1:31">
      <c r="B33" s="152" t="s">
        <v>152</v>
      </c>
      <c r="D33" s="153">
        <f t="shared" ref="D33:G33" si="3">-D121</f>
        <v>0</v>
      </c>
      <c r="E33" s="154">
        <f t="shared" si="3"/>
        <v>0</v>
      </c>
      <c r="F33" s="152">
        <f t="shared" si="3"/>
        <v>-4402604.7956250003</v>
      </c>
      <c r="G33" s="152">
        <f t="shared" si="3"/>
        <v>-6227714.3760000011</v>
      </c>
      <c r="H33" s="152">
        <f t="shared" ref="H33:W33" si="4">-H121</f>
        <v>-6546925.3623750005</v>
      </c>
      <c r="I33" s="152">
        <f t="shared" si="4"/>
        <v>-7528964.1667312495</v>
      </c>
      <c r="J33" s="152">
        <f t="shared" si="4"/>
        <v>-7528964.1667312495</v>
      </c>
      <c r="K33" s="152">
        <f t="shared" si="4"/>
        <v>-7528964.1667312495</v>
      </c>
      <c r="L33" s="152">
        <f t="shared" si="4"/>
        <v>-8658308.7917409372</v>
      </c>
      <c r="M33" s="152">
        <f t="shared" si="4"/>
        <v>-8658308.7917409372</v>
      </c>
      <c r="N33" s="152">
        <f t="shared" si="4"/>
        <v>-8658308.7917409372</v>
      </c>
      <c r="O33" s="152">
        <f t="shared" si="4"/>
        <v>-9957055.1105020735</v>
      </c>
      <c r="P33" s="152">
        <f t="shared" si="4"/>
        <v>-9957055.1105020735</v>
      </c>
      <c r="Q33" s="152">
        <f t="shared" si="4"/>
        <v>-9957055.1105020735</v>
      </c>
      <c r="R33" s="152">
        <f t="shared" si="4"/>
        <v>-11450613.377077386</v>
      </c>
      <c r="S33" s="152">
        <f t="shared" si="4"/>
        <v>-11450613.377077386</v>
      </c>
      <c r="T33" s="152">
        <f t="shared" si="4"/>
        <v>-11450613.377077386</v>
      </c>
      <c r="U33" s="152">
        <f t="shared" si="4"/>
        <v>-13168205.383638993</v>
      </c>
      <c r="V33" s="152">
        <f t="shared" si="4"/>
        <v>-13168205.383638993</v>
      </c>
      <c r="W33" s="152">
        <f t="shared" si="4"/>
        <v>-13168205.383638993</v>
      </c>
      <c r="X33" s="152">
        <f t="shared" ref="X33:AA33" si="5">-X121</f>
        <v>-15143436.191184841</v>
      </c>
      <c r="Y33" s="152">
        <f t="shared" si="5"/>
        <v>-15143436.191184841</v>
      </c>
      <c r="Z33" s="152">
        <f t="shared" si="5"/>
        <v>-15143436.191184841</v>
      </c>
      <c r="AA33" s="152">
        <f t="shared" si="5"/>
        <v>-17414951.619862568</v>
      </c>
      <c r="AB33" s="152">
        <f t="shared" ref="AB33:AD33" si="6">-AB121</f>
        <v>-17414951.619862568</v>
      </c>
      <c r="AC33" s="152">
        <f t="shared" si="6"/>
        <v>-17414951.619862568</v>
      </c>
      <c r="AD33" s="152">
        <f t="shared" si="6"/>
        <v>-20027194.362841953</v>
      </c>
      <c r="AE33" s="214"/>
    </row>
    <row r="34" spans="1:31">
      <c r="B34" s="152" t="s">
        <v>153</v>
      </c>
      <c r="D34" s="153">
        <f t="shared" ref="D34:E34" si="7">-D130</f>
        <v>0</v>
      </c>
      <c r="E34" s="154">
        <f t="shared" si="7"/>
        <v>0</v>
      </c>
      <c r="F34" s="152">
        <f>-F130</f>
        <v>-1026522.7193437498</v>
      </c>
      <c r="G34" s="152">
        <f t="shared" ref="G34:W34" si="8">-G130</f>
        <v>-1508945.1564</v>
      </c>
      <c r="H34" s="152">
        <f t="shared" si="8"/>
        <v>-1700154.8043562502</v>
      </c>
      <c r="I34" s="152">
        <f t="shared" si="8"/>
        <v>-2035128.0250096873</v>
      </c>
      <c r="J34" s="152">
        <f t="shared" si="8"/>
        <v>-2074128.0250096873</v>
      </c>
      <c r="K34" s="152">
        <f t="shared" si="8"/>
        <v>-2113128.0250096875</v>
      </c>
      <c r="L34" s="152">
        <f t="shared" si="8"/>
        <v>-2492497.2287611403</v>
      </c>
      <c r="M34" s="152">
        <f t="shared" si="8"/>
        <v>-2531497.2287611403</v>
      </c>
      <c r="N34" s="152">
        <f t="shared" si="8"/>
        <v>-2570497.2287611403</v>
      </c>
      <c r="O34" s="152">
        <f t="shared" si="8"/>
        <v>-3000921.8130753115</v>
      </c>
      <c r="P34" s="152">
        <f t="shared" si="8"/>
        <v>-3000921.8130753115</v>
      </c>
      <c r="Q34" s="152">
        <f t="shared" si="8"/>
        <v>-3000921.8130753115</v>
      </c>
      <c r="R34" s="152">
        <f t="shared" si="8"/>
        <v>-3451060.0850366075</v>
      </c>
      <c r="S34" s="152">
        <f t="shared" si="8"/>
        <v>-3451060.0850366075</v>
      </c>
      <c r="T34" s="152">
        <f t="shared" si="8"/>
        <v>-3451060.0850366075</v>
      </c>
      <c r="U34" s="152">
        <f t="shared" si="8"/>
        <v>-3968719.0977920988</v>
      </c>
      <c r="V34" s="152">
        <f t="shared" si="8"/>
        <v>-3968719.0977920988</v>
      </c>
      <c r="W34" s="152">
        <f t="shared" si="8"/>
        <v>-3968719.0977920988</v>
      </c>
      <c r="X34" s="152">
        <f t="shared" ref="X34:AA34" si="9">-X130</f>
        <v>-4564026.9624609128</v>
      </c>
      <c r="Y34" s="152">
        <f t="shared" si="9"/>
        <v>-4564026.9624609128</v>
      </c>
      <c r="Z34" s="152">
        <f t="shared" si="9"/>
        <v>-4564026.9624609128</v>
      </c>
      <c r="AA34" s="152">
        <f t="shared" si="9"/>
        <v>-5248631.0068300497</v>
      </c>
      <c r="AB34" s="152">
        <f t="shared" ref="AB34:AD34" si="10">-AB130</f>
        <v>-5248631.0068300497</v>
      </c>
      <c r="AC34" s="152">
        <f t="shared" si="10"/>
        <v>-5248631.0068300497</v>
      </c>
      <c r="AD34" s="152">
        <f t="shared" si="10"/>
        <v>-6035925.657854557</v>
      </c>
      <c r="AE34" s="214"/>
    </row>
    <row r="35" spans="1:31">
      <c r="B35" s="161" t="s">
        <v>154</v>
      </c>
      <c r="C35" s="161"/>
      <c r="D35" s="163">
        <f>SUM(D32:D34)</f>
        <v>0</v>
      </c>
      <c r="E35" s="164">
        <f t="shared" ref="E35:W35" si="11">SUM(E32:E34)</f>
        <v>0</v>
      </c>
      <c r="F35" s="161">
        <f t="shared" si="11"/>
        <v>25743931.667531244</v>
      </c>
      <c r="G35" s="161">
        <f t="shared" si="11"/>
        <v>34909957.971599996</v>
      </c>
      <c r="H35" s="161">
        <f t="shared" si="11"/>
        <v>37762941.282768756</v>
      </c>
      <c r="I35" s="161">
        <f t="shared" si="11"/>
        <v>43347432.475184061</v>
      </c>
      <c r="J35" s="161">
        <f t="shared" si="11"/>
        <v>43308432.475184061</v>
      </c>
      <c r="K35" s="161">
        <f t="shared" si="11"/>
        <v>43269432.475184061</v>
      </c>
      <c r="L35" s="161">
        <f t="shared" si="11"/>
        <v>49697447.346461669</v>
      </c>
      <c r="M35" s="161">
        <f t="shared" si="11"/>
        <v>49658447.346461669</v>
      </c>
      <c r="N35" s="161">
        <f t="shared" si="11"/>
        <v>49619447.346461669</v>
      </c>
      <c r="O35" s="161">
        <f t="shared" si="11"/>
        <v>57017514.448430911</v>
      </c>
      <c r="P35" s="161">
        <f t="shared" si="11"/>
        <v>57017514.448430911</v>
      </c>
      <c r="Q35" s="161">
        <f t="shared" si="11"/>
        <v>57017514.448430911</v>
      </c>
      <c r="R35" s="161">
        <f t="shared" si="11"/>
        <v>65570141.615695536</v>
      </c>
      <c r="S35" s="161">
        <f t="shared" si="11"/>
        <v>65570141.615695536</v>
      </c>
      <c r="T35" s="161">
        <f t="shared" si="11"/>
        <v>65570141.615695536</v>
      </c>
      <c r="U35" s="161">
        <f t="shared" si="11"/>
        <v>75405662.85804987</v>
      </c>
      <c r="V35" s="161">
        <f t="shared" si="11"/>
        <v>75405662.85804987</v>
      </c>
      <c r="W35" s="161">
        <f t="shared" si="11"/>
        <v>75405662.85804987</v>
      </c>
      <c r="X35" s="161">
        <f t="shared" ref="X35" si="12">SUM(X32:X34)</f>
        <v>86716512.28675735</v>
      </c>
      <c r="Y35" s="161">
        <f t="shared" ref="Y35" si="13">SUM(Y32:Y34)</f>
        <v>86716512.28675735</v>
      </c>
      <c r="Z35" s="161">
        <f t="shared" ref="Z35" si="14">SUM(Z32:Z34)</f>
        <v>86716512.28675735</v>
      </c>
      <c r="AA35" s="161">
        <f t="shared" ref="AA35:AB35" si="15">SUM(AA32:AA34)</f>
        <v>99723989.129770935</v>
      </c>
      <c r="AB35" s="161">
        <f t="shared" si="15"/>
        <v>99723989.129770935</v>
      </c>
      <c r="AC35" s="161">
        <f t="shared" ref="AC35" si="16">SUM(AC32:AC34)</f>
        <v>99723989.129770935</v>
      </c>
      <c r="AD35" s="161">
        <f t="shared" ref="AD35" si="17">SUM(AD32:AD34)</f>
        <v>114682587.49923657</v>
      </c>
      <c r="AE35" s="216">
        <f>AE146</f>
        <v>152222606.97853163</v>
      </c>
    </row>
    <row r="36" spans="1:31">
      <c r="D36" s="153"/>
      <c r="E36" s="154"/>
      <c r="AE36" s="214"/>
    </row>
    <row r="37" spans="1:31">
      <c r="B37" s="152" t="s">
        <v>155</v>
      </c>
      <c r="D37" s="153">
        <f>-D141</f>
        <v>0</v>
      </c>
      <c r="E37" s="154">
        <f>-E141</f>
        <v>-6240000</v>
      </c>
      <c r="F37" s="152">
        <f t="shared" ref="F37:W37" si="18">-F141</f>
        <v>-6240000</v>
      </c>
      <c r="G37" s="152">
        <f t="shared" si="18"/>
        <v>-6240000</v>
      </c>
      <c r="H37" s="152">
        <f t="shared" si="18"/>
        <v>-5460000</v>
      </c>
      <c r="I37" s="152">
        <f t="shared" si="18"/>
        <v>-4680000</v>
      </c>
      <c r="J37" s="152">
        <f t="shared" si="18"/>
        <v>-3900000</v>
      </c>
      <c r="K37" s="152">
        <f t="shared" si="18"/>
        <v>-3120000</v>
      </c>
      <c r="L37" s="152">
        <f t="shared" si="18"/>
        <v>-2340000</v>
      </c>
      <c r="M37" s="152">
        <f t="shared" si="18"/>
        <v>-1560000</v>
      </c>
      <c r="N37" s="152">
        <f t="shared" si="18"/>
        <v>-780000</v>
      </c>
      <c r="O37" s="152">
        <f t="shared" si="18"/>
        <v>0</v>
      </c>
      <c r="P37" s="152">
        <f t="shared" si="18"/>
        <v>0</v>
      </c>
      <c r="Q37" s="152">
        <f t="shared" si="18"/>
        <v>0</v>
      </c>
      <c r="R37" s="152">
        <f t="shared" si="18"/>
        <v>0</v>
      </c>
      <c r="S37" s="152">
        <f t="shared" si="18"/>
        <v>0</v>
      </c>
      <c r="T37" s="152">
        <f t="shared" si="18"/>
        <v>0</v>
      </c>
      <c r="U37" s="152">
        <f t="shared" si="18"/>
        <v>0</v>
      </c>
      <c r="V37" s="152">
        <f t="shared" si="18"/>
        <v>0</v>
      </c>
      <c r="W37" s="152">
        <f t="shared" si="18"/>
        <v>0</v>
      </c>
      <c r="X37" s="152">
        <f t="shared" ref="X37:AA37" si="19">-X141</f>
        <v>0</v>
      </c>
      <c r="Y37" s="152">
        <f t="shared" si="19"/>
        <v>0</v>
      </c>
      <c r="Z37" s="152">
        <f t="shared" si="19"/>
        <v>0</v>
      </c>
      <c r="AA37" s="152">
        <f t="shared" si="19"/>
        <v>0</v>
      </c>
      <c r="AB37" s="152">
        <f t="shared" ref="AB37:AD37" si="20">-AB141</f>
        <v>0</v>
      </c>
      <c r="AC37" s="152">
        <f t="shared" si="20"/>
        <v>0</v>
      </c>
      <c r="AD37" s="152">
        <f t="shared" si="20"/>
        <v>0</v>
      </c>
      <c r="AE37" s="214"/>
    </row>
    <row r="38" spans="1:31">
      <c r="B38" s="152" t="s">
        <v>156</v>
      </c>
      <c r="D38" s="153">
        <f>D138</f>
        <v>0</v>
      </c>
      <c r="E38" s="154">
        <f>E138</f>
        <v>0</v>
      </c>
      <c r="F38" s="152">
        <f t="shared" ref="F38:W38" si="21">F138</f>
        <v>0</v>
      </c>
      <c r="G38" s="152">
        <f t="shared" si="21"/>
        <v>-9750000</v>
      </c>
      <c r="H38" s="152">
        <f t="shared" si="21"/>
        <v>-9750000</v>
      </c>
      <c r="I38" s="152">
        <f t="shared" si="21"/>
        <v>-9750000</v>
      </c>
      <c r="J38" s="152">
        <f t="shared" si="21"/>
        <v>-9750000</v>
      </c>
      <c r="K38" s="152">
        <f t="shared" si="21"/>
        <v>-9750000</v>
      </c>
      <c r="L38" s="152">
        <f t="shared" si="21"/>
        <v>-9750000</v>
      </c>
      <c r="M38" s="152">
        <f t="shared" si="21"/>
        <v>-9750000</v>
      </c>
      <c r="N38" s="152">
        <f t="shared" si="21"/>
        <v>-9750000</v>
      </c>
      <c r="O38" s="152">
        <f t="shared" si="21"/>
        <v>0</v>
      </c>
      <c r="P38" s="152">
        <f t="shared" si="21"/>
        <v>0</v>
      </c>
      <c r="Q38" s="152">
        <f t="shared" si="21"/>
        <v>0</v>
      </c>
      <c r="R38" s="152">
        <f t="shared" si="21"/>
        <v>0</v>
      </c>
      <c r="S38" s="152">
        <f t="shared" si="21"/>
        <v>0</v>
      </c>
      <c r="T38" s="152">
        <f t="shared" si="21"/>
        <v>0</v>
      </c>
      <c r="U38" s="152">
        <f t="shared" si="21"/>
        <v>0</v>
      </c>
      <c r="V38" s="152">
        <f t="shared" si="21"/>
        <v>0</v>
      </c>
      <c r="W38" s="152">
        <f t="shared" si="21"/>
        <v>0</v>
      </c>
      <c r="X38" s="152">
        <f t="shared" ref="X38:AA38" si="22">X138</f>
        <v>0</v>
      </c>
      <c r="Y38" s="152">
        <f t="shared" si="22"/>
        <v>0</v>
      </c>
      <c r="Z38" s="152">
        <f t="shared" si="22"/>
        <v>0</v>
      </c>
      <c r="AA38" s="152">
        <f t="shared" si="22"/>
        <v>0</v>
      </c>
      <c r="AB38" s="152">
        <f t="shared" ref="AB38:AD38" si="23">AB138</f>
        <v>0</v>
      </c>
      <c r="AC38" s="152">
        <f t="shared" si="23"/>
        <v>0</v>
      </c>
      <c r="AD38" s="152">
        <f t="shared" si="23"/>
        <v>0</v>
      </c>
      <c r="AE38" s="214"/>
    </row>
    <row r="39" spans="1:31">
      <c r="B39" s="161" t="s">
        <v>157</v>
      </c>
      <c r="C39" s="161"/>
      <c r="D39" s="163">
        <f>D35+SUM(D37:D38)</f>
        <v>0</v>
      </c>
      <c r="E39" s="164">
        <f t="shared" ref="E39:AE39" si="24">E35+SUM(E37:E38)</f>
        <v>-6240000</v>
      </c>
      <c r="F39" s="161">
        <f t="shared" si="24"/>
        <v>19503931.667531244</v>
      </c>
      <c r="G39" s="161">
        <f t="shared" si="24"/>
        <v>18919957.971599996</v>
      </c>
      <c r="H39" s="161">
        <f t="shared" si="24"/>
        <v>22552941.282768756</v>
      </c>
      <c r="I39" s="161">
        <f t="shared" si="24"/>
        <v>28917432.475184061</v>
      </c>
      <c r="J39" s="161">
        <f t="shared" si="24"/>
        <v>29658432.475184061</v>
      </c>
      <c r="K39" s="161">
        <f t="shared" si="24"/>
        <v>30399432.475184061</v>
      </c>
      <c r="L39" s="161">
        <f t="shared" si="24"/>
        <v>37607447.346461669</v>
      </c>
      <c r="M39" s="161">
        <f t="shared" si="24"/>
        <v>38348447.346461669</v>
      </c>
      <c r="N39" s="161">
        <f t="shared" si="24"/>
        <v>39089447.346461669</v>
      </c>
      <c r="O39" s="161">
        <f t="shared" si="24"/>
        <v>57017514.448430911</v>
      </c>
      <c r="P39" s="161">
        <f t="shared" si="24"/>
        <v>57017514.448430911</v>
      </c>
      <c r="Q39" s="161">
        <f t="shared" si="24"/>
        <v>57017514.448430911</v>
      </c>
      <c r="R39" s="161">
        <f t="shared" si="24"/>
        <v>65570141.615695536</v>
      </c>
      <c r="S39" s="161">
        <f t="shared" si="24"/>
        <v>65570141.615695536</v>
      </c>
      <c r="T39" s="161">
        <f t="shared" si="24"/>
        <v>65570141.615695536</v>
      </c>
      <c r="U39" s="161">
        <f t="shared" si="24"/>
        <v>75405662.85804987</v>
      </c>
      <c r="V39" s="161">
        <f t="shared" si="24"/>
        <v>75405662.85804987</v>
      </c>
      <c r="W39" s="161">
        <f t="shared" si="24"/>
        <v>75405662.85804987</v>
      </c>
      <c r="X39" s="161">
        <f t="shared" ref="X39" si="25">X35+SUM(X37:X38)</f>
        <v>86716512.28675735</v>
      </c>
      <c r="Y39" s="161">
        <f t="shared" ref="Y39" si="26">Y35+SUM(Y37:Y38)</f>
        <v>86716512.28675735</v>
      </c>
      <c r="Z39" s="161">
        <f t="shared" ref="Z39" si="27">Z35+SUM(Z37:Z38)</f>
        <v>86716512.28675735</v>
      </c>
      <c r="AA39" s="161">
        <f t="shared" ref="AA39:AB39" si="28">AA35+SUM(AA37:AA38)</f>
        <v>99723989.129770935</v>
      </c>
      <c r="AB39" s="161">
        <f t="shared" si="28"/>
        <v>99723989.129770935</v>
      </c>
      <c r="AC39" s="161">
        <f t="shared" ref="AC39" si="29">AC35+SUM(AC37:AC38)</f>
        <v>99723989.129770935</v>
      </c>
      <c r="AD39" s="161">
        <f t="shared" ref="AD39" si="30">AD35+SUM(AD37:AD38)</f>
        <v>114682587.49923657</v>
      </c>
      <c r="AE39" s="216">
        <f t="shared" si="24"/>
        <v>152222606.97853163</v>
      </c>
    </row>
    <row r="40" spans="1:31">
      <c r="D40" s="153"/>
      <c r="E40" s="154"/>
      <c r="AE40" s="214"/>
    </row>
    <row r="41" spans="1:31" ht="14.4">
      <c r="A41" s="152" t="s">
        <v>96</v>
      </c>
      <c r="B41" s="147" t="s">
        <v>158</v>
      </c>
      <c r="C41" s="165"/>
      <c r="D41" s="166" t="s">
        <v>159</v>
      </c>
      <c r="E41" s="167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</row>
    <row r="42" spans="1:31">
      <c r="D42" s="153"/>
      <c r="E42" s="154"/>
      <c r="AE42" s="214"/>
    </row>
    <row r="43" spans="1:31">
      <c r="D43" s="153"/>
      <c r="E43" s="154"/>
      <c r="AE43" s="214"/>
    </row>
    <row r="44" spans="1:31">
      <c r="B44" s="152" t="s">
        <v>160</v>
      </c>
      <c r="D44" s="153">
        <f>C50</f>
        <v>136500000</v>
      </c>
      <c r="E44" s="154">
        <f t="shared" ref="E44" si="31">D50</f>
        <v>8680300.1344999969</v>
      </c>
      <c r="F44" s="152">
        <f t="shared" ref="F44" si="32">E50</f>
        <v>-1197785.8255000114</v>
      </c>
      <c r="G44" s="152">
        <f t="shared" ref="G44" si="33">F50</f>
        <v>0</v>
      </c>
      <c r="H44" s="152">
        <f t="shared" ref="H44" si="34">G50</f>
        <v>0</v>
      </c>
      <c r="I44" s="152">
        <f t="shared" ref="I44" si="35">H50</f>
        <v>0</v>
      </c>
      <c r="J44" s="152">
        <f t="shared" ref="J44" si="36">I50</f>
        <v>0</v>
      </c>
      <c r="K44" s="152">
        <f t="shared" ref="K44" si="37">J50</f>
        <v>0</v>
      </c>
      <c r="L44" s="152">
        <f t="shared" ref="L44" si="38">K50</f>
        <v>0</v>
      </c>
      <c r="M44" s="152">
        <f t="shared" ref="M44" si="39">L50</f>
        <v>0</v>
      </c>
      <c r="N44" s="152">
        <f t="shared" ref="N44" si="40">M50</f>
        <v>0</v>
      </c>
      <c r="O44" s="152">
        <f t="shared" ref="O44" si="41">N50</f>
        <v>0</v>
      </c>
      <c r="P44" s="152">
        <f t="shared" ref="P44" si="42">O50</f>
        <v>0</v>
      </c>
      <c r="Q44" s="152">
        <f t="shared" ref="Q44" si="43">P50</f>
        <v>0</v>
      </c>
      <c r="R44" s="152">
        <f t="shared" ref="R44" si="44">Q50</f>
        <v>0</v>
      </c>
      <c r="S44" s="152">
        <f t="shared" ref="S44" si="45">R50</f>
        <v>0</v>
      </c>
      <c r="T44" s="152">
        <f t="shared" ref="T44" si="46">S50</f>
        <v>0</v>
      </c>
      <c r="U44" s="152">
        <f t="shared" ref="U44" si="47">T50</f>
        <v>0</v>
      </c>
      <c r="V44" s="152">
        <f t="shared" ref="V44" si="48">U50</f>
        <v>0</v>
      </c>
      <c r="W44" s="152">
        <f t="shared" ref="W44" si="49">V50</f>
        <v>0</v>
      </c>
      <c r="X44" s="152">
        <f t="shared" ref="X44" si="50">W50</f>
        <v>0</v>
      </c>
      <c r="Y44" s="152">
        <f t="shared" ref="Y44" si="51">X50</f>
        <v>0</v>
      </c>
      <c r="Z44" s="152">
        <f t="shared" ref="Z44" si="52">Y50</f>
        <v>0</v>
      </c>
      <c r="AA44" s="152">
        <f t="shared" ref="AA44:AB44" si="53">Z50</f>
        <v>0</v>
      </c>
      <c r="AB44" s="152">
        <f t="shared" si="53"/>
        <v>0</v>
      </c>
      <c r="AC44" s="152">
        <f t="shared" ref="AC44" si="54">AB50</f>
        <v>0</v>
      </c>
      <c r="AD44" s="152">
        <f t="shared" ref="AD44" si="55">AC50</f>
        <v>0</v>
      </c>
      <c r="AE44" s="214">
        <f>W50</f>
        <v>0</v>
      </c>
    </row>
    <row r="45" spans="1:31">
      <c r="B45" s="152" t="s">
        <v>161</v>
      </c>
      <c r="D45" s="153">
        <f>D39+D30</f>
        <v>-173319699.8655</v>
      </c>
      <c r="E45" s="154">
        <f t="shared" ref="E45:W45" si="56">E39+E30</f>
        <v>-87878085.960000008</v>
      </c>
      <c r="F45" s="152">
        <f t="shared" si="56"/>
        <v>19503931.667531244</v>
      </c>
      <c r="G45" s="152">
        <f t="shared" si="56"/>
        <v>18919957.971599996</v>
      </c>
      <c r="H45" s="152">
        <f t="shared" si="56"/>
        <v>22552941.282768756</v>
      </c>
      <c r="I45" s="152">
        <f t="shared" si="56"/>
        <v>28917432.475184061</v>
      </c>
      <c r="J45" s="152">
        <f t="shared" si="56"/>
        <v>29658432.475184061</v>
      </c>
      <c r="K45" s="152">
        <f t="shared" si="56"/>
        <v>30399432.475184061</v>
      </c>
      <c r="L45" s="152">
        <f t="shared" si="56"/>
        <v>37607447.346461669</v>
      </c>
      <c r="M45" s="152">
        <f t="shared" si="56"/>
        <v>38348447.346461669</v>
      </c>
      <c r="N45" s="152">
        <f t="shared" si="56"/>
        <v>39089447.346461669</v>
      </c>
      <c r="O45" s="152">
        <f t="shared" si="56"/>
        <v>57017514.448430911</v>
      </c>
      <c r="P45" s="152">
        <f t="shared" si="56"/>
        <v>57017514.448430911</v>
      </c>
      <c r="Q45" s="152">
        <f t="shared" si="56"/>
        <v>57017514.448430911</v>
      </c>
      <c r="R45" s="152">
        <f t="shared" si="56"/>
        <v>65570141.615695536</v>
      </c>
      <c r="S45" s="152">
        <f t="shared" si="56"/>
        <v>65570141.615695536</v>
      </c>
      <c r="T45" s="152">
        <f t="shared" si="56"/>
        <v>65570141.615695536</v>
      </c>
      <c r="U45" s="152">
        <f t="shared" si="56"/>
        <v>75405662.85804987</v>
      </c>
      <c r="V45" s="152">
        <f t="shared" si="56"/>
        <v>75405662.85804987</v>
      </c>
      <c r="W45" s="152">
        <f t="shared" si="56"/>
        <v>75405662.85804987</v>
      </c>
      <c r="X45" s="152">
        <f t="shared" ref="X45:AA45" si="57">X39+X30</f>
        <v>86716512.28675735</v>
      </c>
      <c r="Y45" s="152">
        <f t="shared" si="57"/>
        <v>86716512.28675735</v>
      </c>
      <c r="Z45" s="152">
        <f t="shared" si="57"/>
        <v>86716512.28675735</v>
      </c>
      <c r="AA45" s="152">
        <f t="shared" si="57"/>
        <v>99723989.129770935</v>
      </c>
      <c r="AB45" s="152">
        <f t="shared" ref="AB45:AD45" si="58">AB39+AB30</f>
        <v>99723989.129770935</v>
      </c>
      <c r="AC45" s="152">
        <f t="shared" si="58"/>
        <v>99723989.129770935</v>
      </c>
      <c r="AD45" s="152">
        <f t="shared" si="58"/>
        <v>114682587.49923657</v>
      </c>
      <c r="AE45" s="214">
        <f t="shared" ref="AE45" si="59">AE39+AE30</f>
        <v>152222606.97853163</v>
      </c>
    </row>
    <row r="46" spans="1:31">
      <c r="B46" s="152" t="s">
        <v>162</v>
      </c>
      <c r="C46" s="175">
        <f>Assumptions!$F$62*0.75</f>
        <v>136500000</v>
      </c>
      <c r="D46" s="176">
        <f>Assumptions!$F$62-C46</f>
        <v>45500000</v>
      </c>
      <c r="E46" s="177">
        <f>Assumptions!$F$62-SUM(C46:D46)</f>
        <v>0</v>
      </c>
      <c r="AE46" s="214"/>
    </row>
    <row r="47" spans="1:31">
      <c r="B47" s="152" t="s">
        <v>163</v>
      </c>
      <c r="C47" s="175">
        <v>0</v>
      </c>
      <c r="D47" s="176">
        <f>D238</f>
        <v>0</v>
      </c>
      <c r="E47" s="177">
        <f>Assumptions!F63</f>
        <v>78000000</v>
      </c>
      <c r="AE47" s="214"/>
    </row>
    <row r="48" spans="1:31">
      <c r="B48" s="152" t="s">
        <v>164</v>
      </c>
      <c r="C48" s="152">
        <v>0</v>
      </c>
      <c r="D48" s="153"/>
      <c r="E48" s="154"/>
      <c r="AE48" s="214"/>
    </row>
    <row r="49" spans="1:31">
      <c r="B49" s="152" t="s">
        <v>165</v>
      </c>
      <c r="C49" s="172">
        <v>0</v>
      </c>
      <c r="D49" s="173">
        <v>0</v>
      </c>
      <c r="E49" s="174">
        <v>0</v>
      </c>
      <c r="F49" s="152">
        <f>IF(F39&gt;0,-SUM(F44:F48),0)</f>
        <v>-18306145.842031233</v>
      </c>
      <c r="G49" s="152">
        <f t="shared" ref="G49:AE49" si="60">IF(G39&gt;0,-SUM(G44:G48),0)</f>
        <v>-18919957.971599996</v>
      </c>
      <c r="H49" s="152">
        <f t="shared" si="60"/>
        <v>-22552941.282768756</v>
      </c>
      <c r="I49" s="152">
        <f t="shared" si="60"/>
        <v>-28917432.475184061</v>
      </c>
      <c r="J49" s="152">
        <f t="shared" si="60"/>
        <v>-29658432.475184061</v>
      </c>
      <c r="K49" s="152">
        <f t="shared" si="60"/>
        <v>-30399432.475184061</v>
      </c>
      <c r="L49" s="152">
        <f t="shared" si="60"/>
        <v>-37607447.346461669</v>
      </c>
      <c r="M49" s="152">
        <f t="shared" si="60"/>
        <v>-38348447.346461669</v>
      </c>
      <c r="N49" s="152">
        <f t="shared" si="60"/>
        <v>-39089447.346461669</v>
      </c>
      <c r="O49" s="152">
        <f t="shared" si="60"/>
        <v>-57017514.448430911</v>
      </c>
      <c r="P49" s="152">
        <f t="shared" si="60"/>
        <v>-57017514.448430911</v>
      </c>
      <c r="Q49" s="152">
        <f t="shared" si="60"/>
        <v>-57017514.448430911</v>
      </c>
      <c r="R49" s="152">
        <f t="shared" si="60"/>
        <v>-65570141.615695536</v>
      </c>
      <c r="S49" s="152">
        <f t="shared" si="60"/>
        <v>-65570141.615695536</v>
      </c>
      <c r="T49" s="152">
        <f t="shared" si="60"/>
        <v>-65570141.615695536</v>
      </c>
      <c r="U49" s="152">
        <f t="shared" si="60"/>
        <v>-75405662.85804987</v>
      </c>
      <c r="V49" s="152">
        <f t="shared" si="60"/>
        <v>-75405662.85804987</v>
      </c>
      <c r="W49" s="152">
        <f t="shared" si="60"/>
        <v>-75405662.85804987</v>
      </c>
      <c r="X49" s="152">
        <f t="shared" ref="X49" si="61">IF(X39&gt;0,-SUM(X44:X48),0)</f>
        <v>-86716512.28675735</v>
      </c>
      <c r="Y49" s="152">
        <f t="shared" ref="Y49" si="62">IF(Y39&gt;0,-SUM(Y44:Y48),0)</f>
        <v>-86716512.28675735</v>
      </c>
      <c r="Z49" s="152">
        <f t="shared" ref="Z49" si="63">IF(Z39&gt;0,-SUM(Z44:Z48),0)</f>
        <v>-86716512.28675735</v>
      </c>
      <c r="AA49" s="152">
        <f t="shared" ref="AA49:AB49" si="64">IF(AA39&gt;0,-SUM(AA44:AA48),0)</f>
        <v>-99723989.129770935</v>
      </c>
      <c r="AB49" s="152">
        <f t="shared" si="64"/>
        <v>-99723989.129770935</v>
      </c>
      <c r="AC49" s="152">
        <f t="shared" ref="AC49" si="65">IF(AC39&gt;0,-SUM(AC44:AC48),0)</f>
        <v>-99723989.129770935</v>
      </c>
      <c r="AD49" s="152">
        <f t="shared" ref="AD49" si="66">IF(AD39&gt;0,-SUM(AD44:AD48),0)</f>
        <v>-114682587.49923657</v>
      </c>
      <c r="AE49" s="214">
        <f t="shared" si="60"/>
        <v>-152222606.97853163</v>
      </c>
    </row>
    <row r="50" spans="1:31" s="156" customFormat="1">
      <c r="B50" s="169" t="s">
        <v>166</v>
      </c>
      <c r="C50" s="169">
        <f>SUM(C44:C49)</f>
        <v>136500000</v>
      </c>
      <c r="D50" s="170">
        <f t="shared" ref="D50:AE50" si="67">SUM(D44:D49)</f>
        <v>8680300.1344999969</v>
      </c>
      <c r="E50" s="171">
        <f t="shared" si="67"/>
        <v>-1197785.8255000114</v>
      </c>
      <c r="F50" s="169">
        <f t="shared" si="67"/>
        <v>0</v>
      </c>
      <c r="G50" s="169">
        <f t="shared" si="67"/>
        <v>0</v>
      </c>
      <c r="H50" s="169">
        <f t="shared" si="67"/>
        <v>0</v>
      </c>
      <c r="I50" s="169">
        <f t="shared" si="67"/>
        <v>0</v>
      </c>
      <c r="J50" s="169">
        <f t="shared" si="67"/>
        <v>0</v>
      </c>
      <c r="K50" s="169">
        <f t="shared" si="67"/>
        <v>0</v>
      </c>
      <c r="L50" s="169">
        <f t="shared" si="67"/>
        <v>0</v>
      </c>
      <c r="M50" s="169">
        <f t="shared" si="67"/>
        <v>0</v>
      </c>
      <c r="N50" s="169">
        <f t="shared" si="67"/>
        <v>0</v>
      </c>
      <c r="O50" s="169">
        <f t="shared" si="67"/>
        <v>0</v>
      </c>
      <c r="P50" s="169">
        <f t="shared" si="67"/>
        <v>0</v>
      </c>
      <c r="Q50" s="169">
        <f t="shared" si="67"/>
        <v>0</v>
      </c>
      <c r="R50" s="169">
        <f t="shared" si="67"/>
        <v>0</v>
      </c>
      <c r="S50" s="169">
        <f t="shared" si="67"/>
        <v>0</v>
      </c>
      <c r="T50" s="169">
        <f t="shared" si="67"/>
        <v>0</v>
      </c>
      <c r="U50" s="169">
        <f t="shared" si="67"/>
        <v>0</v>
      </c>
      <c r="V50" s="169">
        <f t="shared" si="67"/>
        <v>0</v>
      </c>
      <c r="W50" s="169">
        <f t="shared" si="67"/>
        <v>0</v>
      </c>
      <c r="X50" s="169">
        <f t="shared" ref="X50" si="68">SUM(X44:X49)</f>
        <v>0</v>
      </c>
      <c r="Y50" s="169">
        <f t="shared" ref="Y50" si="69">SUM(Y44:Y49)</f>
        <v>0</v>
      </c>
      <c r="Z50" s="169">
        <f t="shared" ref="Z50" si="70">SUM(Z44:Z49)</f>
        <v>0</v>
      </c>
      <c r="AA50" s="169">
        <f t="shared" ref="AA50:AB50" si="71">SUM(AA44:AA49)</f>
        <v>0</v>
      </c>
      <c r="AB50" s="169">
        <f t="shared" si="71"/>
        <v>0</v>
      </c>
      <c r="AC50" s="169">
        <f t="shared" ref="AC50" si="72">SUM(AC44:AC49)</f>
        <v>0</v>
      </c>
      <c r="AD50" s="169">
        <f t="shared" ref="AD50" si="73">SUM(AD44:AD49)</f>
        <v>0</v>
      </c>
      <c r="AE50" s="217">
        <f t="shared" si="67"/>
        <v>0</v>
      </c>
    </row>
    <row r="51" spans="1:31">
      <c r="D51" s="153"/>
      <c r="E51" s="154"/>
      <c r="AE51" s="214"/>
    </row>
    <row r="52" spans="1:31" ht="14.4">
      <c r="A52" s="152" t="s">
        <v>96</v>
      </c>
      <c r="B52" s="147" t="s">
        <v>167</v>
      </c>
      <c r="C52" s="165"/>
      <c r="D52" s="166" t="s">
        <v>159</v>
      </c>
      <c r="E52" s="167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</row>
    <row r="53" spans="1:31">
      <c r="D53" s="153"/>
      <c r="E53" s="154"/>
      <c r="AE53" s="214"/>
    </row>
    <row r="54" spans="1:31">
      <c r="B54" s="152" t="s">
        <v>168</v>
      </c>
      <c r="C54" s="182">
        <v>0</v>
      </c>
      <c r="D54" s="183">
        <f>C54+1</f>
        <v>1</v>
      </c>
      <c r="E54" s="184">
        <f t="shared" ref="E54:W55" si="74">D54+1</f>
        <v>2</v>
      </c>
      <c r="F54" s="185">
        <f t="shared" si="74"/>
        <v>3</v>
      </c>
      <c r="G54" s="185">
        <f t="shared" si="74"/>
        <v>4</v>
      </c>
      <c r="H54" s="185">
        <f t="shared" si="74"/>
        <v>5</v>
      </c>
      <c r="I54" s="185">
        <f t="shared" si="74"/>
        <v>6</v>
      </c>
      <c r="J54" s="185">
        <f t="shared" si="74"/>
        <v>7</v>
      </c>
      <c r="K54" s="185">
        <f t="shared" si="74"/>
        <v>8</v>
      </c>
      <c r="L54" s="185">
        <f t="shared" si="74"/>
        <v>9</v>
      </c>
      <c r="M54" s="185">
        <f t="shared" si="74"/>
        <v>10</v>
      </c>
      <c r="N54" s="185">
        <f t="shared" si="74"/>
        <v>11</v>
      </c>
      <c r="O54" s="185">
        <f t="shared" si="74"/>
        <v>12</v>
      </c>
      <c r="P54" s="185">
        <f t="shared" si="74"/>
        <v>13</v>
      </c>
      <c r="Q54" s="185">
        <f t="shared" si="74"/>
        <v>14</v>
      </c>
      <c r="R54" s="185">
        <f t="shared" si="74"/>
        <v>15</v>
      </c>
      <c r="S54" s="185">
        <f t="shared" si="74"/>
        <v>16</v>
      </c>
      <c r="T54" s="185">
        <f t="shared" si="74"/>
        <v>17</v>
      </c>
      <c r="U54" s="185">
        <f t="shared" si="74"/>
        <v>18</v>
      </c>
      <c r="V54" s="185">
        <f t="shared" si="74"/>
        <v>19</v>
      </c>
      <c r="W54" s="185">
        <f t="shared" si="74"/>
        <v>20</v>
      </c>
      <c r="X54" s="185">
        <f t="shared" ref="X54:AA54" si="75">W54+1</f>
        <v>21</v>
      </c>
      <c r="Y54" s="185">
        <f t="shared" si="75"/>
        <v>22</v>
      </c>
      <c r="Z54" s="185">
        <f t="shared" si="75"/>
        <v>23</v>
      </c>
      <c r="AA54" s="185">
        <f t="shared" si="75"/>
        <v>24</v>
      </c>
      <c r="AB54" s="185">
        <f t="shared" ref="AB54:AD54" si="76">AA54+1</f>
        <v>25</v>
      </c>
      <c r="AC54" s="185">
        <f t="shared" si="76"/>
        <v>26</v>
      </c>
      <c r="AD54" s="185">
        <f t="shared" si="76"/>
        <v>27</v>
      </c>
      <c r="AE54" s="214">
        <f t="shared" ref="AE54" si="77">AD54+1</f>
        <v>28</v>
      </c>
    </row>
    <row r="55" spans="1:31">
      <c r="B55" s="152" t="s">
        <v>169</v>
      </c>
      <c r="C55" s="178">
        <v>0</v>
      </c>
      <c r="D55" s="191">
        <v>0</v>
      </c>
      <c r="E55" s="192">
        <v>0</v>
      </c>
      <c r="F55" s="185">
        <f t="shared" si="74"/>
        <v>1</v>
      </c>
      <c r="G55" s="185">
        <f t="shared" si="74"/>
        <v>2</v>
      </c>
      <c r="H55" s="185">
        <f t="shared" si="74"/>
        <v>3</v>
      </c>
      <c r="I55" s="185">
        <f t="shared" si="74"/>
        <v>4</v>
      </c>
      <c r="J55" s="185">
        <f t="shared" si="74"/>
        <v>5</v>
      </c>
      <c r="K55" s="185">
        <f t="shared" si="74"/>
        <v>6</v>
      </c>
      <c r="L55" s="185">
        <f t="shared" si="74"/>
        <v>7</v>
      </c>
      <c r="M55" s="185">
        <f t="shared" si="74"/>
        <v>8</v>
      </c>
      <c r="N55" s="185">
        <f t="shared" si="74"/>
        <v>9</v>
      </c>
      <c r="O55" s="185">
        <f t="shared" si="74"/>
        <v>10</v>
      </c>
      <c r="P55" s="185">
        <f t="shared" si="74"/>
        <v>11</v>
      </c>
      <c r="Q55" s="185">
        <f t="shared" si="74"/>
        <v>12</v>
      </c>
      <c r="R55" s="185">
        <f t="shared" si="74"/>
        <v>13</v>
      </c>
      <c r="S55" s="185">
        <f t="shared" si="74"/>
        <v>14</v>
      </c>
      <c r="T55" s="185">
        <f t="shared" si="74"/>
        <v>15</v>
      </c>
      <c r="U55" s="185">
        <f t="shared" si="74"/>
        <v>16</v>
      </c>
      <c r="V55" s="185">
        <f t="shared" si="74"/>
        <v>17</v>
      </c>
      <c r="W55" s="185">
        <f t="shared" si="74"/>
        <v>18</v>
      </c>
      <c r="X55" s="185">
        <f t="shared" ref="X55:AA55" si="78">W55+1</f>
        <v>19</v>
      </c>
      <c r="Y55" s="185">
        <f t="shared" si="78"/>
        <v>20</v>
      </c>
      <c r="Z55" s="185">
        <f t="shared" si="78"/>
        <v>21</v>
      </c>
      <c r="AA55" s="185">
        <f t="shared" si="78"/>
        <v>22</v>
      </c>
      <c r="AB55" s="185">
        <f t="shared" ref="AB55:AD55" si="79">AA55+1</f>
        <v>23</v>
      </c>
      <c r="AC55" s="185">
        <f t="shared" si="79"/>
        <v>24</v>
      </c>
      <c r="AD55" s="185">
        <f t="shared" si="79"/>
        <v>25</v>
      </c>
      <c r="AE55" s="214">
        <f t="shared" ref="AE55" si="80">AD55+1</f>
        <v>26</v>
      </c>
    </row>
    <row r="56" spans="1:31">
      <c r="B56" s="152" t="s">
        <v>170</v>
      </c>
      <c r="D56" s="188">
        <f>C56+1</f>
        <v>1</v>
      </c>
      <c r="E56" s="186">
        <f>D56*(1+Assumptions!$M$8)</f>
        <v>1.0249999999999999</v>
      </c>
      <c r="F56" s="187">
        <f>E56*(1+Assumptions!$M$8)</f>
        <v>1.0506249999999999</v>
      </c>
      <c r="G56" s="187">
        <f>F56*(1+Assumptions!$M$8)</f>
        <v>1.0768906249999999</v>
      </c>
      <c r="H56" s="187">
        <f>G56*(1+Assumptions!$M$8)</f>
        <v>1.1038128906249998</v>
      </c>
      <c r="I56" s="187">
        <f>H56*(1+Assumptions!$M$8)</f>
        <v>1.1314082128906247</v>
      </c>
      <c r="J56" s="187">
        <f>I56*(1+Assumptions!$M$8)</f>
        <v>1.1596934182128902</v>
      </c>
      <c r="K56" s="187">
        <f>J56*(1+Assumptions!$M$8)</f>
        <v>1.1886857536682123</v>
      </c>
      <c r="L56" s="187">
        <f>K56*(1+Assumptions!$M$8)</f>
        <v>1.2184028975099175</v>
      </c>
      <c r="M56" s="187">
        <f>L56*(1+Assumptions!$M$8)</f>
        <v>1.2488629699476652</v>
      </c>
      <c r="N56" s="187">
        <f>M56*(1+Assumptions!$M$8)</f>
        <v>1.2800845441963566</v>
      </c>
      <c r="O56" s="187">
        <f>N56*(1+Assumptions!$M$8)</f>
        <v>1.3120866578012655</v>
      </c>
      <c r="P56" s="187">
        <f>O56*(1+Assumptions!$M$8)</f>
        <v>1.3448888242462971</v>
      </c>
      <c r="Q56" s="187">
        <f>P56*(1+Assumptions!$M$8)</f>
        <v>1.3785110448524545</v>
      </c>
      <c r="R56" s="187">
        <f>Q56*(1+Assumptions!$M$8)</f>
        <v>1.4129738209737657</v>
      </c>
      <c r="S56" s="187">
        <f>R56*(1+Assumptions!$M$8)</f>
        <v>1.4482981664981096</v>
      </c>
      <c r="T56" s="187">
        <f>S56*(1+Assumptions!$M$8)</f>
        <v>1.4845056206605622</v>
      </c>
      <c r="U56" s="187">
        <f>T56*(1+Assumptions!$M$8)</f>
        <v>1.5216182611770761</v>
      </c>
      <c r="V56" s="187">
        <f>U56*(1+Assumptions!$M$8)</f>
        <v>1.5596587177065029</v>
      </c>
      <c r="W56" s="187">
        <f>V56*(1+Assumptions!$M$8)</f>
        <v>1.5986501856491653</v>
      </c>
      <c r="X56" s="187">
        <f>W56*(1+Assumptions!$M$8)</f>
        <v>1.6386164402903942</v>
      </c>
      <c r="Y56" s="187">
        <f>X56*(1+Assumptions!$M$8)</f>
        <v>1.6795818512976539</v>
      </c>
      <c r="Z56" s="187">
        <f>Y56*(1+Assumptions!$M$8)</f>
        <v>1.721571397580095</v>
      </c>
      <c r="AA56" s="187">
        <f>Z56*(1+Assumptions!$M$8)</f>
        <v>1.7646106825195973</v>
      </c>
      <c r="AB56" s="187">
        <f>AA56*(1+Assumptions!$M$8)</f>
        <v>1.8087259495825871</v>
      </c>
      <c r="AC56" s="187">
        <f>AB56*(1+Assumptions!$M$8)</f>
        <v>1.8539440983221516</v>
      </c>
      <c r="AD56" s="187">
        <f>AC56*(1+Assumptions!$M$8)</f>
        <v>1.9002927007802053</v>
      </c>
      <c r="AE56" s="241">
        <f>AD56*(1+Assumptions!$M$8)</f>
        <v>1.9478000182997102</v>
      </c>
    </row>
    <row r="57" spans="1:31">
      <c r="B57" s="152" t="s">
        <v>171</v>
      </c>
      <c r="C57" s="182">
        <v>365</v>
      </c>
      <c r="D57" s="183">
        <f>C57</f>
        <v>365</v>
      </c>
      <c r="E57" s="184">
        <f t="shared" ref="E57:W57" si="81">D57</f>
        <v>365</v>
      </c>
      <c r="F57" s="185">
        <f t="shared" si="81"/>
        <v>365</v>
      </c>
      <c r="G57" s="185">
        <f t="shared" si="81"/>
        <v>365</v>
      </c>
      <c r="H57" s="185">
        <f t="shared" si="81"/>
        <v>365</v>
      </c>
      <c r="I57" s="185">
        <f t="shared" si="81"/>
        <v>365</v>
      </c>
      <c r="J57" s="185">
        <f t="shared" si="81"/>
        <v>365</v>
      </c>
      <c r="K57" s="185">
        <f t="shared" si="81"/>
        <v>365</v>
      </c>
      <c r="L57" s="185">
        <f t="shared" si="81"/>
        <v>365</v>
      </c>
      <c r="M57" s="185">
        <f t="shared" si="81"/>
        <v>365</v>
      </c>
      <c r="N57" s="185">
        <f t="shared" si="81"/>
        <v>365</v>
      </c>
      <c r="O57" s="185">
        <f t="shared" si="81"/>
        <v>365</v>
      </c>
      <c r="P57" s="185">
        <f t="shared" si="81"/>
        <v>365</v>
      </c>
      <c r="Q57" s="185">
        <f t="shared" si="81"/>
        <v>365</v>
      </c>
      <c r="R57" s="185">
        <f t="shared" si="81"/>
        <v>365</v>
      </c>
      <c r="S57" s="185">
        <f t="shared" si="81"/>
        <v>365</v>
      </c>
      <c r="T57" s="185">
        <f t="shared" si="81"/>
        <v>365</v>
      </c>
      <c r="U57" s="185">
        <f t="shared" si="81"/>
        <v>365</v>
      </c>
      <c r="V57" s="185">
        <f t="shared" si="81"/>
        <v>365</v>
      </c>
      <c r="W57" s="185">
        <f t="shared" si="81"/>
        <v>365</v>
      </c>
      <c r="X57" s="185">
        <f t="shared" ref="X57:AA57" si="82">W57</f>
        <v>365</v>
      </c>
      <c r="Y57" s="185">
        <f t="shared" si="82"/>
        <v>365</v>
      </c>
      <c r="Z57" s="185">
        <f t="shared" si="82"/>
        <v>365</v>
      </c>
      <c r="AA57" s="185">
        <f t="shared" si="82"/>
        <v>365</v>
      </c>
      <c r="AB57" s="185">
        <f t="shared" ref="AB57:AD57" si="83">AA57</f>
        <v>365</v>
      </c>
      <c r="AC57" s="185">
        <f t="shared" si="83"/>
        <v>365</v>
      </c>
      <c r="AD57" s="185">
        <f t="shared" si="83"/>
        <v>365</v>
      </c>
      <c r="AE57" s="214">
        <f t="shared" ref="AE57" si="84">AD57</f>
        <v>365</v>
      </c>
    </row>
    <row r="58" spans="1:31">
      <c r="D58" s="153"/>
      <c r="E58" s="154"/>
      <c r="AE58" s="214"/>
    </row>
    <row r="59" spans="1:31">
      <c r="B59" s="158" t="s">
        <v>24</v>
      </c>
      <c r="D59" s="153"/>
      <c r="E59" s="154"/>
      <c r="AE59" s="214"/>
    </row>
    <row r="60" spans="1:31">
      <c r="D60" s="153"/>
      <c r="E60" s="154"/>
      <c r="AE60" s="214"/>
    </row>
    <row r="61" spans="1:31">
      <c r="B61" s="156" t="s">
        <v>172</v>
      </c>
      <c r="D61" s="153"/>
      <c r="E61" s="154"/>
      <c r="AE61" s="214"/>
    </row>
    <row r="62" spans="1:31">
      <c r="B62" s="159" t="str">
        <f>Assumptions!J19</f>
        <v>Hotel 32m - Studio</v>
      </c>
      <c r="C62" s="181">
        <f>Assumptions!L19</f>
        <v>60</v>
      </c>
      <c r="D62" s="179">
        <f>C62</f>
        <v>60</v>
      </c>
      <c r="E62" s="180">
        <f t="shared" ref="E62:W62" si="85">D62</f>
        <v>60</v>
      </c>
      <c r="F62" s="181">
        <f t="shared" si="85"/>
        <v>60</v>
      </c>
      <c r="G62" s="181">
        <f t="shared" si="85"/>
        <v>60</v>
      </c>
      <c r="H62" s="181">
        <f t="shared" si="85"/>
        <v>60</v>
      </c>
      <c r="I62" s="181">
        <f t="shared" si="85"/>
        <v>60</v>
      </c>
      <c r="J62" s="181">
        <f t="shared" si="85"/>
        <v>60</v>
      </c>
      <c r="K62" s="181">
        <f t="shared" si="85"/>
        <v>60</v>
      </c>
      <c r="L62" s="181">
        <f t="shared" si="85"/>
        <v>60</v>
      </c>
      <c r="M62" s="181">
        <f t="shared" si="85"/>
        <v>60</v>
      </c>
      <c r="N62" s="181">
        <f t="shared" si="85"/>
        <v>60</v>
      </c>
      <c r="O62" s="181">
        <f t="shared" si="85"/>
        <v>60</v>
      </c>
      <c r="P62" s="181">
        <f t="shared" si="85"/>
        <v>60</v>
      </c>
      <c r="Q62" s="181">
        <f t="shared" si="85"/>
        <v>60</v>
      </c>
      <c r="R62" s="181">
        <f t="shared" si="85"/>
        <v>60</v>
      </c>
      <c r="S62" s="181">
        <f t="shared" si="85"/>
        <v>60</v>
      </c>
      <c r="T62" s="181">
        <f t="shared" si="85"/>
        <v>60</v>
      </c>
      <c r="U62" s="181">
        <f t="shared" si="85"/>
        <v>60</v>
      </c>
      <c r="V62" s="181">
        <f t="shared" si="85"/>
        <v>60</v>
      </c>
      <c r="W62" s="181">
        <f t="shared" si="85"/>
        <v>60</v>
      </c>
      <c r="X62" s="181">
        <f t="shared" ref="X62:AA62" si="86">W62</f>
        <v>60</v>
      </c>
      <c r="Y62" s="181">
        <f t="shared" si="86"/>
        <v>60</v>
      </c>
      <c r="Z62" s="181">
        <f t="shared" si="86"/>
        <v>60</v>
      </c>
      <c r="AA62" s="181">
        <f t="shared" si="86"/>
        <v>60</v>
      </c>
      <c r="AB62" s="181">
        <f t="shared" ref="AB62:AD62" si="87">AA62</f>
        <v>60</v>
      </c>
      <c r="AC62" s="181">
        <f t="shared" si="87"/>
        <v>60</v>
      </c>
      <c r="AD62" s="181">
        <f t="shared" si="87"/>
        <v>60</v>
      </c>
      <c r="AE62" s="214"/>
    </row>
    <row r="63" spans="1:31">
      <c r="B63" s="159" t="str">
        <f>Assumptions!J20</f>
        <v>Hotel 48m - 1 Bed Room</v>
      </c>
      <c r="C63" s="181">
        <f>Assumptions!L20</f>
        <v>40</v>
      </c>
      <c r="D63" s="179">
        <f t="shared" ref="D63:W63" si="88">C63</f>
        <v>40</v>
      </c>
      <c r="E63" s="180">
        <f t="shared" si="88"/>
        <v>40</v>
      </c>
      <c r="F63" s="181">
        <f t="shared" si="88"/>
        <v>40</v>
      </c>
      <c r="G63" s="181">
        <f t="shared" si="88"/>
        <v>40</v>
      </c>
      <c r="H63" s="181">
        <f t="shared" si="88"/>
        <v>40</v>
      </c>
      <c r="I63" s="181">
        <f t="shared" si="88"/>
        <v>40</v>
      </c>
      <c r="J63" s="181">
        <f t="shared" si="88"/>
        <v>40</v>
      </c>
      <c r="K63" s="181">
        <f t="shared" si="88"/>
        <v>40</v>
      </c>
      <c r="L63" s="181">
        <f t="shared" si="88"/>
        <v>40</v>
      </c>
      <c r="M63" s="181">
        <f t="shared" si="88"/>
        <v>40</v>
      </c>
      <c r="N63" s="181">
        <f t="shared" si="88"/>
        <v>40</v>
      </c>
      <c r="O63" s="181">
        <f t="shared" si="88"/>
        <v>40</v>
      </c>
      <c r="P63" s="181">
        <f t="shared" si="88"/>
        <v>40</v>
      </c>
      <c r="Q63" s="181">
        <f t="shared" si="88"/>
        <v>40</v>
      </c>
      <c r="R63" s="181">
        <f t="shared" si="88"/>
        <v>40</v>
      </c>
      <c r="S63" s="181">
        <f t="shared" si="88"/>
        <v>40</v>
      </c>
      <c r="T63" s="181">
        <f t="shared" si="88"/>
        <v>40</v>
      </c>
      <c r="U63" s="181">
        <f t="shared" si="88"/>
        <v>40</v>
      </c>
      <c r="V63" s="181">
        <f t="shared" si="88"/>
        <v>40</v>
      </c>
      <c r="W63" s="181">
        <f t="shared" si="88"/>
        <v>40</v>
      </c>
      <c r="X63" s="181">
        <f t="shared" ref="X63:AA63" si="89">W63</f>
        <v>40</v>
      </c>
      <c r="Y63" s="181">
        <f t="shared" si="89"/>
        <v>40</v>
      </c>
      <c r="Z63" s="181">
        <f t="shared" si="89"/>
        <v>40</v>
      </c>
      <c r="AA63" s="181">
        <f t="shared" si="89"/>
        <v>40</v>
      </c>
      <c r="AB63" s="181">
        <f t="shared" ref="AB63:AD63" si="90">AA63</f>
        <v>40</v>
      </c>
      <c r="AC63" s="181">
        <f t="shared" si="90"/>
        <v>40</v>
      </c>
      <c r="AD63" s="181">
        <f t="shared" si="90"/>
        <v>40</v>
      </c>
      <c r="AE63" s="214"/>
    </row>
    <row r="64" spans="1:31">
      <c r="B64" s="159" t="str">
        <f>Assumptions!J21</f>
        <v>Hotel 64m - 2 Bed Room</v>
      </c>
      <c r="C64" s="181">
        <f>Assumptions!L21</f>
        <v>20</v>
      </c>
      <c r="D64" s="179">
        <f t="shared" ref="D64:W64" si="91">C64</f>
        <v>20</v>
      </c>
      <c r="E64" s="180">
        <f t="shared" si="91"/>
        <v>20</v>
      </c>
      <c r="F64" s="181">
        <f t="shared" si="91"/>
        <v>20</v>
      </c>
      <c r="G64" s="181">
        <f t="shared" si="91"/>
        <v>20</v>
      </c>
      <c r="H64" s="181">
        <f t="shared" si="91"/>
        <v>20</v>
      </c>
      <c r="I64" s="181">
        <f t="shared" si="91"/>
        <v>20</v>
      </c>
      <c r="J64" s="181">
        <f t="shared" si="91"/>
        <v>20</v>
      </c>
      <c r="K64" s="181">
        <f t="shared" si="91"/>
        <v>20</v>
      </c>
      <c r="L64" s="181">
        <f t="shared" si="91"/>
        <v>20</v>
      </c>
      <c r="M64" s="181">
        <f t="shared" si="91"/>
        <v>20</v>
      </c>
      <c r="N64" s="181">
        <f t="shared" si="91"/>
        <v>20</v>
      </c>
      <c r="O64" s="181">
        <f t="shared" si="91"/>
        <v>20</v>
      </c>
      <c r="P64" s="181">
        <f t="shared" si="91"/>
        <v>20</v>
      </c>
      <c r="Q64" s="181">
        <f t="shared" si="91"/>
        <v>20</v>
      </c>
      <c r="R64" s="181">
        <f t="shared" si="91"/>
        <v>20</v>
      </c>
      <c r="S64" s="181">
        <f t="shared" si="91"/>
        <v>20</v>
      </c>
      <c r="T64" s="181">
        <f t="shared" si="91"/>
        <v>20</v>
      </c>
      <c r="U64" s="181">
        <f t="shared" si="91"/>
        <v>20</v>
      </c>
      <c r="V64" s="181">
        <f t="shared" si="91"/>
        <v>20</v>
      </c>
      <c r="W64" s="181">
        <f t="shared" si="91"/>
        <v>20</v>
      </c>
      <c r="X64" s="181">
        <f t="shared" ref="X64:AA64" si="92">W64</f>
        <v>20</v>
      </c>
      <c r="Y64" s="181">
        <f t="shared" si="92"/>
        <v>20</v>
      </c>
      <c r="Z64" s="181">
        <f t="shared" si="92"/>
        <v>20</v>
      </c>
      <c r="AA64" s="181">
        <f t="shared" si="92"/>
        <v>20</v>
      </c>
      <c r="AB64" s="181">
        <f t="shared" ref="AB64:AD64" si="93">AA64</f>
        <v>20</v>
      </c>
      <c r="AC64" s="181">
        <f t="shared" si="93"/>
        <v>20</v>
      </c>
      <c r="AD64" s="181">
        <f t="shared" si="93"/>
        <v>20</v>
      </c>
      <c r="AE64" s="214"/>
    </row>
    <row r="65" spans="2:31">
      <c r="D65" s="153"/>
      <c r="E65" s="154"/>
      <c r="AE65" s="214"/>
    </row>
    <row r="66" spans="2:31">
      <c r="B66" s="156" t="s">
        <v>173</v>
      </c>
      <c r="C66" s="193" t="s">
        <v>6</v>
      </c>
      <c r="D66" s="153"/>
      <c r="E66" s="154"/>
      <c r="AE66" s="214"/>
    </row>
    <row r="67" spans="2:31">
      <c r="B67" s="159" t="str">
        <f>B62</f>
        <v>Hotel 32m - Studio</v>
      </c>
      <c r="C67" s="194">
        <f>Assumptions!M35</f>
        <v>3</v>
      </c>
      <c r="D67" s="153">
        <v>0</v>
      </c>
      <c r="E67" s="154">
        <v>0</v>
      </c>
      <c r="F67" s="196">
        <v>1</v>
      </c>
      <c r="G67" s="195">
        <f>IF(MOD(F$55,$C67)=0,(F67*(1+Assumptions!$L35)),F67)</f>
        <v>1</v>
      </c>
      <c r="H67" s="195">
        <f>IF(MOD(G$55,$C67)=0,(G67*(1+Assumptions!$L35)),G67)</f>
        <v>1</v>
      </c>
      <c r="I67" s="195">
        <f>IF(MOD(H$55,$C67)=0,(H67*(1+Assumptions!$L35)),H67)</f>
        <v>1.1499999999999999</v>
      </c>
      <c r="J67" s="195">
        <f>IF(MOD(I$55,$C67)=0,(I67*(1+Assumptions!$L35)),I67)</f>
        <v>1.1499999999999999</v>
      </c>
      <c r="K67" s="195">
        <f>IF(MOD(J$55,$C67)=0,(J67*(1+Assumptions!$L35)),J67)</f>
        <v>1.1499999999999999</v>
      </c>
      <c r="L67" s="195">
        <f>IF(MOD(K$55,$C67)=0,(K67*(1+Assumptions!$L35)),K67)</f>
        <v>1.3224999999999998</v>
      </c>
      <c r="M67" s="195">
        <f>IF(MOD(L$55,$C67)=0,(L67*(1+Assumptions!$L35)),L67)</f>
        <v>1.3224999999999998</v>
      </c>
      <c r="N67" s="195">
        <f>IF(MOD(M$55,$C67)=0,(M67*(1+Assumptions!$L35)),M67)</f>
        <v>1.3224999999999998</v>
      </c>
      <c r="O67" s="195">
        <f>IF(MOD(N$55,$C67)=0,(N67*(1+Assumptions!$L35)),N67)</f>
        <v>1.5208749999999995</v>
      </c>
      <c r="P67" s="195">
        <f>IF(MOD(O$55,$C67)=0,(O67*(1+Assumptions!$L35)),O67)</f>
        <v>1.5208749999999995</v>
      </c>
      <c r="Q67" s="195">
        <f>IF(MOD(P$55,$C67)=0,(P67*(1+Assumptions!$L35)),P67)</f>
        <v>1.5208749999999995</v>
      </c>
      <c r="R67" s="195">
        <f>IF(MOD(Q$55,$C67)=0,(Q67*(1+Assumptions!$L35)),Q67)</f>
        <v>1.7490062499999994</v>
      </c>
      <c r="S67" s="195">
        <f>IF(MOD(R$55,$C67)=0,(R67*(1+Assumptions!$L35)),R67)</f>
        <v>1.7490062499999994</v>
      </c>
      <c r="T67" s="195">
        <f>IF(MOD(S$55,$C67)=0,(S67*(1+Assumptions!$L35)),S67)</f>
        <v>1.7490062499999994</v>
      </c>
      <c r="U67" s="195">
        <f>IF(MOD(T$55,$C67)=0,(T67*(1+Assumptions!$L35)),T67)</f>
        <v>2.0113571874999994</v>
      </c>
      <c r="V67" s="195">
        <f>IF(MOD(U$55,$C67)=0,(U67*(1+Assumptions!$L35)),U67)</f>
        <v>2.0113571874999994</v>
      </c>
      <c r="W67" s="195">
        <f>IF(MOD(V$55,$C67)=0,(V67*(1+Assumptions!$L35)),V67)</f>
        <v>2.0113571874999994</v>
      </c>
      <c r="X67" s="195">
        <f>IF(MOD(W$55,$C67)=0,(W67*(1+Assumptions!$L35)),W67)</f>
        <v>2.3130607656249991</v>
      </c>
      <c r="Y67" s="195">
        <f>IF(MOD(X$55,$C67)=0,(X67*(1+Assumptions!$L35)),X67)</f>
        <v>2.3130607656249991</v>
      </c>
      <c r="Z67" s="195">
        <f>IF(MOD(Y$55,$C67)=0,(Y67*(1+Assumptions!$L35)),Y67)</f>
        <v>2.3130607656249991</v>
      </c>
      <c r="AA67" s="195">
        <f>IF(MOD(Z$55,$C67)=0,(Z67*(1+Assumptions!$L35)),Z67)</f>
        <v>2.6600198804687487</v>
      </c>
      <c r="AB67" s="195">
        <f>IF(MOD(AA$55,$C67)=0,(AA67*(1+Assumptions!$L35)),AA67)</f>
        <v>2.6600198804687487</v>
      </c>
      <c r="AC67" s="195">
        <f>IF(MOD(AB$55,$C67)=0,(AB67*(1+Assumptions!$L35)),AB67)</f>
        <v>2.6600198804687487</v>
      </c>
      <c r="AD67" s="195">
        <f>IF(MOD(AC$55,$C67)=0,(AC67*(1+Assumptions!$L35)),AC67)</f>
        <v>3.0590228625390607</v>
      </c>
      <c r="AE67" s="214"/>
    </row>
    <row r="68" spans="2:31">
      <c r="B68" s="159" t="str">
        <f>B63</f>
        <v>Hotel 48m - 1 Bed Room</v>
      </c>
      <c r="C68" s="194">
        <f>Assumptions!M36</f>
        <v>3</v>
      </c>
      <c r="D68" s="153">
        <v>0</v>
      </c>
      <c r="E68" s="154">
        <v>0</v>
      </c>
      <c r="F68" s="196">
        <v>1</v>
      </c>
      <c r="G68" s="195">
        <f>IF(MOD(F$55,$C68)=0,(F68*(1+Assumptions!$L36)),F68)</f>
        <v>1</v>
      </c>
      <c r="H68" s="195">
        <f>IF(MOD(G$55,$C68)=0,(G68*(1+Assumptions!$L36)),G68)</f>
        <v>1</v>
      </c>
      <c r="I68" s="195">
        <f>IF(MOD(H$55,$C68)=0,(H68*(1+Assumptions!$L36)),H68)</f>
        <v>1.1499999999999999</v>
      </c>
      <c r="J68" s="195">
        <f>IF(MOD(I$55,$C68)=0,(I68*(1+Assumptions!$L36)),I68)</f>
        <v>1.1499999999999999</v>
      </c>
      <c r="K68" s="195">
        <f>IF(MOD(J$55,$C68)=0,(J68*(1+Assumptions!$L36)),J68)</f>
        <v>1.1499999999999999</v>
      </c>
      <c r="L68" s="195">
        <f>IF(MOD(K$55,$C68)=0,(K68*(1+Assumptions!$L36)),K68)</f>
        <v>1.3224999999999998</v>
      </c>
      <c r="M68" s="195">
        <f>IF(MOD(L$55,$C68)=0,(L68*(1+Assumptions!$L36)),L68)</f>
        <v>1.3224999999999998</v>
      </c>
      <c r="N68" s="195">
        <f>IF(MOD(M$55,$C68)=0,(M68*(1+Assumptions!$L36)),M68)</f>
        <v>1.3224999999999998</v>
      </c>
      <c r="O68" s="195">
        <f>IF(MOD(N$55,$C68)=0,(N68*(1+Assumptions!$L36)),N68)</f>
        <v>1.5208749999999995</v>
      </c>
      <c r="P68" s="195">
        <f>IF(MOD(O$55,$C68)=0,(O68*(1+Assumptions!$L36)),O68)</f>
        <v>1.5208749999999995</v>
      </c>
      <c r="Q68" s="195">
        <f>IF(MOD(P$55,$C68)=0,(P68*(1+Assumptions!$L36)),P68)</f>
        <v>1.5208749999999995</v>
      </c>
      <c r="R68" s="195">
        <f>IF(MOD(Q$55,$C68)=0,(Q68*(1+Assumptions!$L36)),Q68)</f>
        <v>1.7490062499999994</v>
      </c>
      <c r="S68" s="195">
        <f>IF(MOD(R$55,$C68)=0,(R68*(1+Assumptions!$L36)),R68)</f>
        <v>1.7490062499999994</v>
      </c>
      <c r="T68" s="195">
        <f>IF(MOD(S$55,$C68)=0,(S68*(1+Assumptions!$L36)),S68)</f>
        <v>1.7490062499999994</v>
      </c>
      <c r="U68" s="195">
        <f>IF(MOD(T$55,$C68)=0,(T68*(1+Assumptions!$L36)),T68)</f>
        <v>2.0113571874999994</v>
      </c>
      <c r="V68" s="195">
        <f>IF(MOD(U$55,$C68)=0,(U68*(1+Assumptions!$L36)),U68)</f>
        <v>2.0113571874999994</v>
      </c>
      <c r="W68" s="195">
        <f>IF(MOD(V$55,$C68)=0,(V68*(1+Assumptions!$L36)),V68)</f>
        <v>2.0113571874999994</v>
      </c>
      <c r="X68" s="195">
        <f>IF(MOD(W$55,$C68)=0,(W68*(1+Assumptions!$L36)),W68)</f>
        <v>2.3130607656249991</v>
      </c>
      <c r="Y68" s="195">
        <f>IF(MOD(X$55,$C68)=0,(X68*(1+Assumptions!$L36)),X68)</f>
        <v>2.3130607656249991</v>
      </c>
      <c r="Z68" s="195">
        <f>IF(MOD(Y$55,$C68)=0,(Y68*(1+Assumptions!$L36)),Y68)</f>
        <v>2.3130607656249991</v>
      </c>
      <c r="AA68" s="195">
        <f>IF(MOD(Z$55,$C68)=0,(Z68*(1+Assumptions!$L36)),Z68)</f>
        <v>2.6600198804687487</v>
      </c>
      <c r="AB68" s="195">
        <f>IF(MOD(AA$55,$C68)=0,(AA68*(1+Assumptions!$L36)),AA68)</f>
        <v>2.6600198804687487</v>
      </c>
      <c r="AC68" s="195">
        <f>IF(MOD(AB$55,$C68)=0,(AB68*(1+Assumptions!$L36)),AB68)</f>
        <v>2.6600198804687487</v>
      </c>
      <c r="AD68" s="195">
        <f>IF(MOD(AC$55,$C68)=0,(AC68*(1+Assumptions!$L36)),AC68)</f>
        <v>3.0590228625390607</v>
      </c>
      <c r="AE68" s="214"/>
    </row>
    <row r="69" spans="2:31">
      <c r="B69" s="159" t="str">
        <f>B64</f>
        <v>Hotel 64m - 2 Bed Room</v>
      </c>
      <c r="C69" s="194">
        <f>Assumptions!M37</f>
        <v>3</v>
      </c>
      <c r="D69" s="153">
        <v>0</v>
      </c>
      <c r="E69" s="154">
        <v>0</v>
      </c>
      <c r="F69" s="196">
        <v>1</v>
      </c>
      <c r="G69" s="195">
        <f>IF(MOD(F$55,$C69)=0,(F69*(1+Assumptions!$L37)),F69)</f>
        <v>1</v>
      </c>
      <c r="H69" s="195">
        <f>IF(MOD(G$55,$C69)=0,(G69*(1+Assumptions!$L37)),G69)</f>
        <v>1</v>
      </c>
      <c r="I69" s="195">
        <f>IF(MOD(H$55,$C69)=0,(H69*(1+Assumptions!$L37)),H69)</f>
        <v>1.1499999999999999</v>
      </c>
      <c r="J69" s="195">
        <f>IF(MOD(I$55,$C69)=0,(I69*(1+Assumptions!$L37)),I69)</f>
        <v>1.1499999999999999</v>
      </c>
      <c r="K69" s="195">
        <f>IF(MOD(J$55,$C69)=0,(J69*(1+Assumptions!$L37)),J69)</f>
        <v>1.1499999999999999</v>
      </c>
      <c r="L69" s="195">
        <f>IF(MOD(K$55,$C69)=0,(K69*(1+Assumptions!$L37)),K69)</f>
        <v>1.3224999999999998</v>
      </c>
      <c r="M69" s="195">
        <f>IF(MOD(L$55,$C69)=0,(L69*(1+Assumptions!$L37)),L69)</f>
        <v>1.3224999999999998</v>
      </c>
      <c r="N69" s="195">
        <f>IF(MOD(M$55,$C69)=0,(M69*(1+Assumptions!$L37)),M69)</f>
        <v>1.3224999999999998</v>
      </c>
      <c r="O69" s="195">
        <f>IF(MOD(N$55,$C69)=0,(N69*(1+Assumptions!$L37)),N69)</f>
        <v>1.5208749999999995</v>
      </c>
      <c r="P69" s="195">
        <f>IF(MOD(O$55,$C69)=0,(O69*(1+Assumptions!$L37)),O69)</f>
        <v>1.5208749999999995</v>
      </c>
      <c r="Q69" s="195">
        <f>IF(MOD(P$55,$C69)=0,(P69*(1+Assumptions!$L37)),P69)</f>
        <v>1.5208749999999995</v>
      </c>
      <c r="R69" s="195">
        <f>IF(MOD(Q$55,$C69)=0,(Q69*(1+Assumptions!$L37)),Q69)</f>
        <v>1.7490062499999994</v>
      </c>
      <c r="S69" s="195">
        <f>IF(MOD(R$55,$C69)=0,(R69*(1+Assumptions!$L37)),R69)</f>
        <v>1.7490062499999994</v>
      </c>
      <c r="T69" s="195">
        <f>IF(MOD(S$55,$C69)=0,(S69*(1+Assumptions!$L37)),S69)</f>
        <v>1.7490062499999994</v>
      </c>
      <c r="U69" s="195">
        <f>IF(MOD(T$55,$C69)=0,(T69*(1+Assumptions!$L37)),T69)</f>
        <v>2.0113571874999994</v>
      </c>
      <c r="V69" s="195">
        <f>IF(MOD(U$55,$C69)=0,(U69*(1+Assumptions!$L37)),U69)</f>
        <v>2.0113571874999994</v>
      </c>
      <c r="W69" s="195">
        <f>IF(MOD(V$55,$C69)=0,(V69*(1+Assumptions!$L37)),V69)</f>
        <v>2.0113571874999994</v>
      </c>
      <c r="X69" s="195">
        <f>IF(MOD(W$55,$C69)=0,(W69*(1+Assumptions!$L37)),W69)</f>
        <v>2.3130607656249991</v>
      </c>
      <c r="Y69" s="195">
        <f>IF(MOD(X$55,$C69)=0,(X69*(1+Assumptions!$L37)),X69)</f>
        <v>2.3130607656249991</v>
      </c>
      <c r="Z69" s="195">
        <f>IF(MOD(Y$55,$C69)=0,(Y69*(1+Assumptions!$L37)),Y69)</f>
        <v>2.3130607656249991</v>
      </c>
      <c r="AA69" s="195">
        <f>IF(MOD(Z$55,$C69)=0,(Z69*(1+Assumptions!$L37)),Z69)</f>
        <v>2.6600198804687487</v>
      </c>
      <c r="AB69" s="195">
        <f>IF(MOD(AA$55,$C69)=0,(AA69*(1+Assumptions!$L37)),AA69)</f>
        <v>2.6600198804687487</v>
      </c>
      <c r="AC69" s="195">
        <f>IF(MOD(AB$55,$C69)=0,(AB69*(1+Assumptions!$L37)),AB69)</f>
        <v>2.6600198804687487</v>
      </c>
      <c r="AD69" s="195">
        <f>IF(MOD(AC$55,$C69)=0,(AC69*(1+Assumptions!$L37)),AC69)</f>
        <v>3.0590228625390607</v>
      </c>
      <c r="AE69" s="214"/>
    </row>
    <row r="70" spans="2:31">
      <c r="D70" s="153"/>
      <c r="E70" s="154"/>
      <c r="AE70" s="214"/>
    </row>
    <row r="71" spans="2:31">
      <c r="B71" s="156" t="s">
        <v>174</v>
      </c>
      <c r="D71" s="153"/>
      <c r="E71" s="154"/>
      <c r="AE71" s="214"/>
    </row>
    <row r="72" spans="2:31">
      <c r="B72" s="159" t="str">
        <f>Assumptions!J19</f>
        <v>Hotel 32m - Studio</v>
      </c>
      <c r="C72" s="197">
        <f>Assumptions!M19</f>
        <v>416.29999999999995</v>
      </c>
      <c r="D72" s="153">
        <f>$C72*D67</f>
        <v>0</v>
      </c>
      <c r="E72" s="154">
        <f t="shared" ref="E72:W72" si="94">$C72*E67</f>
        <v>0</v>
      </c>
      <c r="F72" s="152">
        <f t="shared" si="94"/>
        <v>416.29999999999995</v>
      </c>
      <c r="G72" s="152">
        <f t="shared" si="94"/>
        <v>416.29999999999995</v>
      </c>
      <c r="H72" s="152">
        <f t="shared" si="94"/>
        <v>416.29999999999995</v>
      </c>
      <c r="I72" s="152">
        <f t="shared" si="94"/>
        <v>478.74499999999989</v>
      </c>
      <c r="J72" s="152">
        <f t="shared" si="94"/>
        <v>478.74499999999989</v>
      </c>
      <c r="K72" s="152">
        <f t="shared" si="94"/>
        <v>478.74499999999989</v>
      </c>
      <c r="L72" s="152">
        <f t="shared" si="94"/>
        <v>550.55674999999985</v>
      </c>
      <c r="M72" s="152">
        <f t="shared" si="94"/>
        <v>550.55674999999985</v>
      </c>
      <c r="N72" s="152">
        <f t="shared" si="94"/>
        <v>550.55674999999985</v>
      </c>
      <c r="O72" s="152">
        <f t="shared" si="94"/>
        <v>633.14026249999972</v>
      </c>
      <c r="P72" s="152">
        <f t="shared" si="94"/>
        <v>633.14026249999972</v>
      </c>
      <c r="Q72" s="152">
        <f t="shared" si="94"/>
        <v>633.14026249999972</v>
      </c>
      <c r="R72" s="152">
        <f t="shared" si="94"/>
        <v>728.11130187499964</v>
      </c>
      <c r="S72" s="152">
        <f t="shared" si="94"/>
        <v>728.11130187499964</v>
      </c>
      <c r="T72" s="152">
        <f t="shared" si="94"/>
        <v>728.11130187499964</v>
      </c>
      <c r="U72" s="152">
        <f t="shared" si="94"/>
        <v>837.32799715624969</v>
      </c>
      <c r="V72" s="152">
        <f t="shared" si="94"/>
        <v>837.32799715624969</v>
      </c>
      <c r="W72" s="152">
        <f t="shared" si="94"/>
        <v>837.32799715624969</v>
      </c>
      <c r="X72" s="152">
        <f t="shared" ref="X72:AA72" si="95">$C72*X67</f>
        <v>962.92719672968701</v>
      </c>
      <c r="Y72" s="152">
        <f t="shared" si="95"/>
        <v>962.92719672968701</v>
      </c>
      <c r="Z72" s="152">
        <f t="shared" si="95"/>
        <v>962.92719672968701</v>
      </c>
      <c r="AA72" s="152">
        <f t="shared" si="95"/>
        <v>1107.36627623914</v>
      </c>
      <c r="AB72" s="152">
        <f t="shared" ref="AB72:AD72" si="96">$C72*AB67</f>
        <v>1107.36627623914</v>
      </c>
      <c r="AC72" s="152">
        <f t="shared" si="96"/>
        <v>1107.36627623914</v>
      </c>
      <c r="AD72" s="152">
        <f t="shared" si="96"/>
        <v>1273.4712176750108</v>
      </c>
      <c r="AE72" s="214"/>
    </row>
    <row r="73" spans="2:31">
      <c r="B73" s="159" t="str">
        <f>Assumptions!J20</f>
        <v>Hotel 48m - 1 Bed Room</v>
      </c>
      <c r="C73" s="197">
        <f>Assumptions!M20</f>
        <v>707.70999999999992</v>
      </c>
      <c r="D73" s="153">
        <f t="shared" ref="D73:W73" si="97">$C73*D68</f>
        <v>0</v>
      </c>
      <c r="E73" s="154">
        <f t="shared" si="97"/>
        <v>0</v>
      </c>
      <c r="F73" s="152">
        <f t="shared" si="97"/>
        <v>707.70999999999992</v>
      </c>
      <c r="G73" s="152">
        <f t="shared" si="97"/>
        <v>707.70999999999992</v>
      </c>
      <c r="H73" s="152">
        <f t="shared" si="97"/>
        <v>707.70999999999992</v>
      </c>
      <c r="I73" s="152">
        <f t="shared" si="97"/>
        <v>813.86649999999986</v>
      </c>
      <c r="J73" s="152">
        <f t="shared" si="97"/>
        <v>813.86649999999986</v>
      </c>
      <c r="K73" s="152">
        <f t="shared" si="97"/>
        <v>813.86649999999986</v>
      </c>
      <c r="L73" s="152">
        <f t="shared" si="97"/>
        <v>935.94647499999974</v>
      </c>
      <c r="M73" s="152">
        <f t="shared" si="97"/>
        <v>935.94647499999974</v>
      </c>
      <c r="N73" s="152">
        <f t="shared" si="97"/>
        <v>935.94647499999974</v>
      </c>
      <c r="O73" s="152">
        <f t="shared" si="97"/>
        <v>1076.3384462499996</v>
      </c>
      <c r="P73" s="152">
        <f t="shared" si="97"/>
        <v>1076.3384462499996</v>
      </c>
      <c r="Q73" s="152">
        <f t="shared" si="97"/>
        <v>1076.3384462499996</v>
      </c>
      <c r="R73" s="152">
        <f t="shared" si="97"/>
        <v>1237.7892131874994</v>
      </c>
      <c r="S73" s="152">
        <f t="shared" si="97"/>
        <v>1237.7892131874994</v>
      </c>
      <c r="T73" s="152">
        <f t="shared" si="97"/>
        <v>1237.7892131874994</v>
      </c>
      <c r="U73" s="152">
        <f t="shared" si="97"/>
        <v>1423.4575951656243</v>
      </c>
      <c r="V73" s="152">
        <f t="shared" si="97"/>
        <v>1423.4575951656243</v>
      </c>
      <c r="W73" s="152">
        <f t="shared" si="97"/>
        <v>1423.4575951656243</v>
      </c>
      <c r="X73" s="152">
        <f t="shared" ref="X73:AA73" si="98">$C73*X68</f>
        <v>1636.9762344404678</v>
      </c>
      <c r="Y73" s="152">
        <f t="shared" si="98"/>
        <v>1636.9762344404678</v>
      </c>
      <c r="Z73" s="152">
        <f t="shared" si="98"/>
        <v>1636.9762344404678</v>
      </c>
      <c r="AA73" s="152">
        <f t="shared" si="98"/>
        <v>1882.5226696065379</v>
      </c>
      <c r="AB73" s="152">
        <f t="shared" ref="AB73:AD73" si="99">$C73*AB68</f>
        <v>1882.5226696065379</v>
      </c>
      <c r="AC73" s="152">
        <f t="shared" si="99"/>
        <v>1882.5226696065379</v>
      </c>
      <c r="AD73" s="152">
        <f t="shared" si="99"/>
        <v>2164.9010700475183</v>
      </c>
      <c r="AE73" s="214"/>
    </row>
    <row r="74" spans="2:31">
      <c r="B74" s="159" t="str">
        <f>Assumptions!J21</f>
        <v>Hotel 64m - 2 Bed Room</v>
      </c>
      <c r="C74" s="197">
        <f>Assumptions!M21</f>
        <v>1040.75</v>
      </c>
      <c r="D74" s="153">
        <f t="shared" ref="D74:W74" si="100">$C74*D69</f>
        <v>0</v>
      </c>
      <c r="E74" s="154">
        <f t="shared" si="100"/>
        <v>0</v>
      </c>
      <c r="F74" s="152">
        <f t="shared" si="100"/>
        <v>1040.75</v>
      </c>
      <c r="G74" s="152">
        <f t="shared" si="100"/>
        <v>1040.75</v>
      </c>
      <c r="H74" s="152">
        <f t="shared" si="100"/>
        <v>1040.75</v>
      </c>
      <c r="I74" s="152">
        <f t="shared" si="100"/>
        <v>1196.8625</v>
      </c>
      <c r="J74" s="152">
        <f t="shared" si="100"/>
        <v>1196.8625</v>
      </c>
      <c r="K74" s="152">
        <f t="shared" si="100"/>
        <v>1196.8625</v>
      </c>
      <c r="L74" s="152">
        <f t="shared" si="100"/>
        <v>1376.3918749999998</v>
      </c>
      <c r="M74" s="152">
        <f t="shared" si="100"/>
        <v>1376.3918749999998</v>
      </c>
      <c r="N74" s="152">
        <f t="shared" si="100"/>
        <v>1376.3918749999998</v>
      </c>
      <c r="O74" s="152">
        <f t="shared" si="100"/>
        <v>1582.8506562499995</v>
      </c>
      <c r="P74" s="152">
        <f t="shared" si="100"/>
        <v>1582.8506562499995</v>
      </c>
      <c r="Q74" s="152">
        <f t="shared" si="100"/>
        <v>1582.8506562499995</v>
      </c>
      <c r="R74" s="152">
        <f t="shared" si="100"/>
        <v>1820.2782546874994</v>
      </c>
      <c r="S74" s="152">
        <f t="shared" si="100"/>
        <v>1820.2782546874994</v>
      </c>
      <c r="T74" s="152">
        <f t="shared" si="100"/>
        <v>1820.2782546874994</v>
      </c>
      <c r="U74" s="152">
        <f t="shared" si="100"/>
        <v>2093.3199928906242</v>
      </c>
      <c r="V74" s="152">
        <f t="shared" si="100"/>
        <v>2093.3199928906242</v>
      </c>
      <c r="W74" s="152">
        <f t="shared" si="100"/>
        <v>2093.3199928906242</v>
      </c>
      <c r="X74" s="152">
        <f t="shared" ref="X74:AA74" si="101">$C74*X69</f>
        <v>2407.3179918242176</v>
      </c>
      <c r="Y74" s="152">
        <f t="shared" si="101"/>
        <v>2407.3179918242176</v>
      </c>
      <c r="Z74" s="152">
        <f t="shared" si="101"/>
        <v>2407.3179918242176</v>
      </c>
      <c r="AA74" s="152">
        <f t="shared" si="101"/>
        <v>2768.4156905978502</v>
      </c>
      <c r="AB74" s="152">
        <f t="shared" ref="AB74:AD74" si="102">$C74*AB69</f>
        <v>2768.4156905978502</v>
      </c>
      <c r="AC74" s="152">
        <f t="shared" si="102"/>
        <v>2768.4156905978502</v>
      </c>
      <c r="AD74" s="152">
        <f t="shared" si="102"/>
        <v>3183.6780441875276</v>
      </c>
      <c r="AE74" s="214"/>
    </row>
    <row r="75" spans="2:31">
      <c r="D75" s="153"/>
      <c r="E75" s="154"/>
      <c r="I75" s="212"/>
      <c r="AE75" s="214"/>
    </row>
    <row r="76" spans="2:31">
      <c r="B76" s="156" t="s">
        <v>175</v>
      </c>
      <c r="D76" s="153"/>
      <c r="E76" s="154"/>
      <c r="AE76" s="214"/>
    </row>
    <row r="77" spans="2:31">
      <c r="B77" s="159" t="str">
        <f>B72</f>
        <v>Hotel 32m - Studio</v>
      </c>
      <c r="D77" s="153"/>
      <c r="E77" s="154"/>
      <c r="F77" s="242">
        <f>Assumptions!K45</f>
        <v>0.45</v>
      </c>
      <c r="G77" s="242">
        <f>Assumptions!L45</f>
        <v>0.64</v>
      </c>
      <c r="H77" s="242">
        <f>Assumptions!M45</f>
        <v>0.67</v>
      </c>
      <c r="I77" s="242">
        <f>Assumptions!N45</f>
        <v>0.67</v>
      </c>
      <c r="J77" s="242">
        <f t="shared" ref="J77:W77" si="103">I77</f>
        <v>0.67</v>
      </c>
      <c r="K77" s="242">
        <f t="shared" si="103"/>
        <v>0.67</v>
      </c>
      <c r="L77" s="242">
        <f t="shared" si="103"/>
        <v>0.67</v>
      </c>
      <c r="M77" s="242">
        <f t="shared" si="103"/>
        <v>0.67</v>
      </c>
      <c r="N77" s="242">
        <f t="shared" si="103"/>
        <v>0.67</v>
      </c>
      <c r="O77" s="242">
        <f t="shared" si="103"/>
        <v>0.67</v>
      </c>
      <c r="P77" s="242">
        <f t="shared" si="103"/>
        <v>0.67</v>
      </c>
      <c r="Q77" s="242">
        <f t="shared" si="103"/>
        <v>0.67</v>
      </c>
      <c r="R77" s="242">
        <f t="shared" si="103"/>
        <v>0.67</v>
      </c>
      <c r="S77" s="242">
        <f t="shared" si="103"/>
        <v>0.67</v>
      </c>
      <c r="T77" s="242">
        <f t="shared" si="103"/>
        <v>0.67</v>
      </c>
      <c r="U77" s="242">
        <f t="shared" si="103"/>
        <v>0.67</v>
      </c>
      <c r="V77" s="242">
        <f t="shared" si="103"/>
        <v>0.67</v>
      </c>
      <c r="W77" s="242">
        <f t="shared" si="103"/>
        <v>0.67</v>
      </c>
      <c r="X77" s="242">
        <f t="shared" ref="X77:AA77" si="104">W77</f>
        <v>0.67</v>
      </c>
      <c r="Y77" s="242">
        <f t="shared" si="104"/>
        <v>0.67</v>
      </c>
      <c r="Z77" s="242">
        <f t="shared" si="104"/>
        <v>0.67</v>
      </c>
      <c r="AA77" s="242">
        <f t="shared" si="104"/>
        <v>0.67</v>
      </c>
      <c r="AB77" s="242">
        <f t="shared" ref="AB77:AD77" si="105">AA77</f>
        <v>0.67</v>
      </c>
      <c r="AC77" s="242">
        <f t="shared" si="105"/>
        <v>0.67</v>
      </c>
      <c r="AD77" s="242">
        <f t="shared" si="105"/>
        <v>0.67</v>
      </c>
      <c r="AE77" s="214"/>
    </row>
    <row r="78" spans="2:31">
      <c r="B78" s="159" t="str">
        <f t="shared" ref="B78:B79" si="106">B73</f>
        <v>Hotel 48m - 1 Bed Room</v>
      </c>
      <c r="D78" s="153"/>
      <c r="E78" s="154"/>
      <c r="F78" s="242">
        <f>Assumptions!K46</f>
        <v>0.45</v>
      </c>
      <c r="G78" s="242">
        <f>Assumptions!L46</f>
        <v>0.64</v>
      </c>
      <c r="H78" s="242">
        <f>Assumptions!M46</f>
        <v>0.67</v>
      </c>
      <c r="I78" s="242">
        <f>Assumptions!N46</f>
        <v>0.67</v>
      </c>
      <c r="J78" s="242">
        <f t="shared" ref="J78:W78" si="107">I78</f>
        <v>0.67</v>
      </c>
      <c r="K78" s="242">
        <f t="shared" si="107"/>
        <v>0.67</v>
      </c>
      <c r="L78" s="242">
        <f t="shared" si="107"/>
        <v>0.67</v>
      </c>
      <c r="M78" s="242">
        <f t="shared" si="107"/>
        <v>0.67</v>
      </c>
      <c r="N78" s="242">
        <f t="shared" si="107"/>
        <v>0.67</v>
      </c>
      <c r="O78" s="242">
        <f t="shared" si="107"/>
        <v>0.67</v>
      </c>
      <c r="P78" s="242">
        <f t="shared" si="107"/>
        <v>0.67</v>
      </c>
      <c r="Q78" s="242">
        <f t="shared" si="107"/>
        <v>0.67</v>
      </c>
      <c r="R78" s="242">
        <f t="shared" si="107"/>
        <v>0.67</v>
      </c>
      <c r="S78" s="242">
        <f t="shared" si="107"/>
        <v>0.67</v>
      </c>
      <c r="T78" s="242">
        <f t="shared" si="107"/>
        <v>0.67</v>
      </c>
      <c r="U78" s="242">
        <f t="shared" si="107"/>
        <v>0.67</v>
      </c>
      <c r="V78" s="242">
        <f t="shared" si="107"/>
        <v>0.67</v>
      </c>
      <c r="W78" s="242">
        <f t="shared" si="107"/>
        <v>0.67</v>
      </c>
      <c r="X78" s="242">
        <f t="shared" ref="X78:AA78" si="108">W78</f>
        <v>0.67</v>
      </c>
      <c r="Y78" s="242">
        <f t="shared" si="108"/>
        <v>0.67</v>
      </c>
      <c r="Z78" s="242">
        <f t="shared" si="108"/>
        <v>0.67</v>
      </c>
      <c r="AA78" s="242">
        <f t="shared" si="108"/>
        <v>0.67</v>
      </c>
      <c r="AB78" s="242">
        <f t="shared" ref="AB78:AD78" si="109">AA78</f>
        <v>0.67</v>
      </c>
      <c r="AC78" s="242">
        <f t="shared" si="109"/>
        <v>0.67</v>
      </c>
      <c r="AD78" s="242">
        <f t="shared" si="109"/>
        <v>0.67</v>
      </c>
      <c r="AE78" s="214"/>
    </row>
    <row r="79" spans="2:31">
      <c r="B79" s="159" t="str">
        <f t="shared" si="106"/>
        <v>Hotel 64m - 2 Bed Room</v>
      </c>
      <c r="D79" s="153"/>
      <c r="E79" s="154"/>
      <c r="F79" s="242">
        <f>Assumptions!K47</f>
        <v>0.45</v>
      </c>
      <c r="G79" s="242">
        <f>Assumptions!L47</f>
        <v>0.64</v>
      </c>
      <c r="H79" s="242">
        <f>Assumptions!M47</f>
        <v>0.67</v>
      </c>
      <c r="I79" s="242">
        <f>Assumptions!N47</f>
        <v>0.67</v>
      </c>
      <c r="J79" s="242">
        <f t="shared" ref="J79:W79" si="110">I79</f>
        <v>0.67</v>
      </c>
      <c r="K79" s="242">
        <f t="shared" si="110"/>
        <v>0.67</v>
      </c>
      <c r="L79" s="242">
        <f t="shared" si="110"/>
        <v>0.67</v>
      </c>
      <c r="M79" s="242">
        <f t="shared" si="110"/>
        <v>0.67</v>
      </c>
      <c r="N79" s="242">
        <f t="shared" si="110"/>
        <v>0.67</v>
      </c>
      <c r="O79" s="242">
        <f t="shared" si="110"/>
        <v>0.67</v>
      </c>
      <c r="P79" s="242">
        <f t="shared" si="110"/>
        <v>0.67</v>
      </c>
      <c r="Q79" s="242">
        <f t="shared" si="110"/>
        <v>0.67</v>
      </c>
      <c r="R79" s="242">
        <f t="shared" si="110"/>
        <v>0.67</v>
      </c>
      <c r="S79" s="242">
        <f t="shared" si="110"/>
        <v>0.67</v>
      </c>
      <c r="T79" s="242">
        <f t="shared" si="110"/>
        <v>0.67</v>
      </c>
      <c r="U79" s="242">
        <f t="shared" si="110"/>
        <v>0.67</v>
      </c>
      <c r="V79" s="242">
        <f t="shared" si="110"/>
        <v>0.67</v>
      </c>
      <c r="W79" s="242">
        <f t="shared" si="110"/>
        <v>0.67</v>
      </c>
      <c r="X79" s="242">
        <f t="shared" ref="X79:AA79" si="111">W79</f>
        <v>0.67</v>
      </c>
      <c r="Y79" s="242">
        <f t="shared" si="111"/>
        <v>0.67</v>
      </c>
      <c r="Z79" s="242">
        <f t="shared" si="111"/>
        <v>0.67</v>
      </c>
      <c r="AA79" s="242">
        <f t="shared" si="111"/>
        <v>0.67</v>
      </c>
      <c r="AB79" s="242">
        <f t="shared" ref="AB79:AD79" si="112">AA79</f>
        <v>0.67</v>
      </c>
      <c r="AC79" s="242">
        <f t="shared" si="112"/>
        <v>0.67</v>
      </c>
      <c r="AD79" s="242">
        <f t="shared" si="112"/>
        <v>0.67</v>
      </c>
      <c r="AE79" s="214"/>
    </row>
    <row r="80" spans="2:31">
      <c r="D80" s="153"/>
      <c r="E80" s="154"/>
      <c r="AE80" s="214"/>
    </row>
    <row r="81" spans="2:31">
      <c r="B81" s="156" t="s">
        <v>47</v>
      </c>
      <c r="C81" s="199">
        <f>Assumptions!M24</f>
        <v>0.35</v>
      </c>
      <c r="D81" s="200">
        <f t="shared" ref="D81:W81" si="113">C81</f>
        <v>0.35</v>
      </c>
      <c r="E81" s="201">
        <f t="shared" si="113"/>
        <v>0.35</v>
      </c>
      <c r="F81" s="202">
        <f t="shared" si="113"/>
        <v>0.35</v>
      </c>
      <c r="G81" s="202">
        <f t="shared" si="113"/>
        <v>0.35</v>
      </c>
      <c r="H81" s="202">
        <f t="shared" si="113"/>
        <v>0.35</v>
      </c>
      <c r="I81" s="202">
        <f t="shared" si="113"/>
        <v>0.35</v>
      </c>
      <c r="J81" s="202">
        <f t="shared" si="113"/>
        <v>0.35</v>
      </c>
      <c r="K81" s="202">
        <f t="shared" si="113"/>
        <v>0.35</v>
      </c>
      <c r="L81" s="202">
        <f t="shared" si="113"/>
        <v>0.35</v>
      </c>
      <c r="M81" s="202">
        <f t="shared" si="113"/>
        <v>0.35</v>
      </c>
      <c r="N81" s="202">
        <f t="shared" si="113"/>
        <v>0.35</v>
      </c>
      <c r="O81" s="202">
        <f t="shared" si="113"/>
        <v>0.35</v>
      </c>
      <c r="P81" s="202">
        <f t="shared" si="113"/>
        <v>0.35</v>
      </c>
      <c r="Q81" s="202">
        <f t="shared" si="113"/>
        <v>0.35</v>
      </c>
      <c r="R81" s="202">
        <f t="shared" si="113"/>
        <v>0.35</v>
      </c>
      <c r="S81" s="202">
        <f t="shared" si="113"/>
        <v>0.35</v>
      </c>
      <c r="T81" s="202">
        <f t="shared" si="113"/>
        <v>0.35</v>
      </c>
      <c r="U81" s="202">
        <f t="shared" si="113"/>
        <v>0.35</v>
      </c>
      <c r="V81" s="202">
        <f t="shared" si="113"/>
        <v>0.35</v>
      </c>
      <c r="W81" s="202">
        <f t="shared" si="113"/>
        <v>0.35</v>
      </c>
      <c r="X81" s="202">
        <f t="shared" ref="X81:AA81" si="114">W81</f>
        <v>0.35</v>
      </c>
      <c r="Y81" s="202">
        <f t="shared" si="114"/>
        <v>0.35</v>
      </c>
      <c r="Z81" s="202">
        <f t="shared" si="114"/>
        <v>0.35</v>
      </c>
      <c r="AA81" s="202">
        <f t="shared" si="114"/>
        <v>0.35</v>
      </c>
      <c r="AB81" s="202">
        <f t="shared" ref="AB81:AD81" si="115">AA81</f>
        <v>0.35</v>
      </c>
      <c r="AC81" s="202">
        <f t="shared" si="115"/>
        <v>0.35</v>
      </c>
      <c r="AD81" s="202">
        <f t="shared" si="115"/>
        <v>0.35</v>
      </c>
      <c r="AE81" s="214"/>
    </row>
    <row r="82" spans="2:31">
      <c r="D82" s="153"/>
      <c r="E82" s="154"/>
      <c r="AE82" s="214"/>
    </row>
    <row r="83" spans="2:31">
      <c r="B83" s="156" t="s">
        <v>176</v>
      </c>
      <c r="D83" s="153"/>
      <c r="E83" s="154"/>
      <c r="AE83" s="214"/>
    </row>
    <row r="84" spans="2:31">
      <c r="B84" s="159" t="str">
        <f>Assumptions!J27</f>
        <v xml:space="preserve">Retail &amp; Entertainment </v>
      </c>
      <c r="C84" s="197">
        <f>Assumptions!L27</f>
        <v>12200</v>
      </c>
      <c r="D84" s="153">
        <f>C84</f>
        <v>12200</v>
      </c>
      <c r="E84" s="154">
        <f t="shared" ref="E84:W84" si="116">D84</f>
        <v>12200</v>
      </c>
      <c r="F84" s="152">
        <f t="shared" si="116"/>
        <v>12200</v>
      </c>
      <c r="G84" s="152">
        <f t="shared" si="116"/>
        <v>12200</v>
      </c>
      <c r="H84" s="152">
        <f t="shared" si="116"/>
        <v>12200</v>
      </c>
      <c r="I84" s="152">
        <f t="shared" si="116"/>
        <v>12200</v>
      </c>
      <c r="J84" s="152">
        <f t="shared" si="116"/>
        <v>12200</v>
      </c>
      <c r="K84" s="152">
        <f t="shared" si="116"/>
        <v>12200</v>
      </c>
      <c r="L84" s="152">
        <f t="shared" si="116"/>
        <v>12200</v>
      </c>
      <c r="M84" s="152">
        <f t="shared" si="116"/>
        <v>12200</v>
      </c>
      <c r="N84" s="152">
        <f t="shared" si="116"/>
        <v>12200</v>
      </c>
      <c r="O84" s="152">
        <f t="shared" si="116"/>
        <v>12200</v>
      </c>
      <c r="P84" s="152">
        <f t="shared" si="116"/>
        <v>12200</v>
      </c>
      <c r="Q84" s="152">
        <f t="shared" si="116"/>
        <v>12200</v>
      </c>
      <c r="R84" s="152">
        <f t="shared" si="116"/>
        <v>12200</v>
      </c>
      <c r="S84" s="152">
        <f t="shared" si="116"/>
        <v>12200</v>
      </c>
      <c r="T84" s="152">
        <f t="shared" si="116"/>
        <v>12200</v>
      </c>
      <c r="U84" s="152">
        <f t="shared" si="116"/>
        <v>12200</v>
      </c>
      <c r="V84" s="152">
        <f t="shared" si="116"/>
        <v>12200</v>
      </c>
      <c r="W84" s="152">
        <f t="shared" si="116"/>
        <v>12200</v>
      </c>
      <c r="X84" s="152">
        <f t="shared" ref="X84:AA84" si="117">W84</f>
        <v>12200</v>
      </c>
      <c r="Y84" s="152">
        <f t="shared" si="117"/>
        <v>12200</v>
      </c>
      <c r="Z84" s="152">
        <f t="shared" si="117"/>
        <v>12200</v>
      </c>
      <c r="AA84" s="152">
        <f t="shared" si="117"/>
        <v>12200</v>
      </c>
      <c r="AB84" s="152">
        <f t="shared" ref="AB84:AD84" si="118">AA84</f>
        <v>12200</v>
      </c>
      <c r="AC84" s="152">
        <f t="shared" si="118"/>
        <v>12200</v>
      </c>
      <c r="AD84" s="152">
        <f t="shared" si="118"/>
        <v>12200</v>
      </c>
      <c r="AE84" s="214"/>
    </row>
    <row r="85" spans="2:31">
      <c r="B85" s="159" t="str">
        <f>Assumptions!J28</f>
        <v>Entirtainment Offices</v>
      </c>
      <c r="C85" s="197">
        <f>Assumptions!L28</f>
        <v>8000</v>
      </c>
      <c r="D85" s="153">
        <f t="shared" ref="D85:W85" si="119">C85</f>
        <v>8000</v>
      </c>
      <c r="E85" s="154">
        <f t="shared" si="119"/>
        <v>8000</v>
      </c>
      <c r="F85" s="152">
        <f t="shared" si="119"/>
        <v>8000</v>
      </c>
      <c r="G85" s="152">
        <f t="shared" si="119"/>
        <v>8000</v>
      </c>
      <c r="H85" s="152">
        <f t="shared" si="119"/>
        <v>8000</v>
      </c>
      <c r="I85" s="152">
        <f t="shared" si="119"/>
        <v>8000</v>
      </c>
      <c r="J85" s="152">
        <f t="shared" si="119"/>
        <v>8000</v>
      </c>
      <c r="K85" s="152">
        <f t="shared" si="119"/>
        <v>8000</v>
      </c>
      <c r="L85" s="152">
        <f t="shared" si="119"/>
        <v>8000</v>
      </c>
      <c r="M85" s="152">
        <f t="shared" si="119"/>
        <v>8000</v>
      </c>
      <c r="N85" s="152">
        <f t="shared" si="119"/>
        <v>8000</v>
      </c>
      <c r="O85" s="152">
        <f t="shared" si="119"/>
        <v>8000</v>
      </c>
      <c r="P85" s="152">
        <f t="shared" si="119"/>
        <v>8000</v>
      </c>
      <c r="Q85" s="152">
        <f t="shared" si="119"/>
        <v>8000</v>
      </c>
      <c r="R85" s="152">
        <f t="shared" si="119"/>
        <v>8000</v>
      </c>
      <c r="S85" s="152">
        <f t="shared" si="119"/>
        <v>8000</v>
      </c>
      <c r="T85" s="152">
        <f t="shared" si="119"/>
        <v>8000</v>
      </c>
      <c r="U85" s="152">
        <f t="shared" si="119"/>
        <v>8000</v>
      </c>
      <c r="V85" s="152">
        <f t="shared" si="119"/>
        <v>8000</v>
      </c>
      <c r="W85" s="152">
        <f t="shared" si="119"/>
        <v>8000</v>
      </c>
      <c r="X85" s="152">
        <f t="shared" ref="X85:AA85" si="120">W85</f>
        <v>8000</v>
      </c>
      <c r="Y85" s="152">
        <f t="shared" si="120"/>
        <v>8000</v>
      </c>
      <c r="Z85" s="152">
        <f t="shared" si="120"/>
        <v>8000</v>
      </c>
      <c r="AA85" s="152">
        <f t="shared" si="120"/>
        <v>8000</v>
      </c>
      <c r="AB85" s="152">
        <f t="shared" ref="AB85:AD85" si="121">AA85</f>
        <v>8000</v>
      </c>
      <c r="AC85" s="152">
        <f t="shared" si="121"/>
        <v>8000</v>
      </c>
      <c r="AD85" s="152">
        <f t="shared" si="121"/>
        <v>8000</v>
      </c>
      <c r="AE85" s="214"/>
    </row>
    <row r="86" spans="2:31">
      <c r="D86" s="153"/>
      <c r="E86" s="154"/>
      <c r="AE86" s="214"/>
    </row>
    <row r="87" spans="2:31">
      <c r="B87" s="156" t="s">
        <v>177</v>
      </c>
      <c r="D87" s="153"/>
      <c r="E87" s="154"/>
      <c r="AE87" s="214"/>
    </row>
    <row r="88" spans="2:31">
      <c r="B88" s="159" t="str">
        <f>B84</f>
        <v xml:space="preserve">Retail &amp; Entertainment </v>
      </c>
      <c r="D88" s="153"/>
      <c r="E88" s="154"/>
      <c r="F88" s="242">
        <f>Assumptions!K50</f>
        <v>0.65</v>
      </c>
      <c r="G88" s="242">
        <f>Assumptions!L50</f>
        <v>0.85</v>
      </c>
      <c r="H88" s="242">
        <f>Assumptions!M50</f>
        <v>0.95</v>
      </c>
      <c r="I88" s="242">
        <f>Assumptions!N50</f>
        <v>0.95</v>
      </c>
      <c r="J88" s="242">
        <f t="shared" ref="J88:AD88" si="122">I88</f>
        <v>0.95</v>
      </c>
      <c r="K88" s="242">
        <f t="shared" si="122"/>
        <v>0.95</v>
      </c>
      <c r="L88" s="242">
        <f t="shared" si="122"/>
        <v>0.95</v>
      </c>
      <c r="M88" s="242">
        <f t="shared" si="122"/>
        <v>0.95</v>
      </c>
      <c r="N88" s="242">
        <f t="shared" si="122"/>
        <v>0.95</v>
      </c>
      <c r="O88" s="242">
        <f t="shared" si="122"/>
        <v>0.95</v>
      </c>
      <c r="P88" s="242">
        <f t="shared" si="122"/>
        <v>0.95</v>
      </c>
      <c r="Q88" s="242">
        <f t="shared" si="122"/>
        <v>0.95</v>
      </c>
      <c r="R88" s="242">
        <f t="shared" si="122"/>
        <v>0.95</v>
      </c>
      <c r="S88" s="242">
        <f t="shared" si="122"/>
        <v>0.95</v>
      </c>
      <c r="T88" s="242">
        <f t="shared" si="122"/>
        <v>0.95</v>
      </c>
      <c r="U88" s="242">
        <f t="shared" si="122"/>
        <v>0.95</v>
      </c>
      <c r="V88" s="242">
        <f t="shared" si="122"/>
        <v>0.95</v>
      </c>
      <c r="W88" s="242">
        <f t="shared" si="122"/>
        <v>0.95</v>
      </c>
      <c r="X88" s="242">
        <f t="shared" si="122"/>
        <v>0.95</v>
      </c>
      <c r="Y88" s="242">
        <f t="shared" si="122"/>
        <v>0.95</v>
      </c>
      <c r="Z88" s="242">
        <f t="shared" si="122"/>
        <v>0.95</v>
      </c>
      <c r="AA88" s="242">
        <f t="shared" si="122"/>
        <v>0.95</v>
      </c>
      <c r="AB88" s="242">
        <f t="shared" si="122"/>
        <v>0.95</v>
      </c>
      <c r="AC88" s="242">
        <f t="shared" si="122"/>
        <v>0.95</v>
      </c>
      <c r="AD88" s="242">
        <f t="shared" si="122"/>
        <v>0.95</v>
      </c>
      <c r="AE88" s="214"/>
    </row>
    <row r="89" spans="2:31">
      <c r="B89" s="159" t="str">
        <f>B85</f>
        <v>Entirtainment Offices</v>
      </c>
      <c r="D89" s="153"/>
      <c r="E89" s="154"/>
      <c r="F89" s="242">
        <f>Assumptions!K51</f>
        <v>0.65</v>
      </c>
      <c r="G89" s="242">
        <f>Assumptions!L51</f>
        <v>0.85</v>
      </c>
      <c r="H89" s="242">
        <f>Assumptions!M51</f>
        <v>0.95</v>
      </c>
      <c r="I89" s="242">
        <f>Assumptions!N51</f>
        <v>0.95</v>
      </c>
      <c r="J89" s="242">
        <f t="shared" ref="J89:AD89" si="123">I89</f>
        <v>0.95</v>
      </c>
      <c r="K89" s="242">
        <f t="shared" si="123"/>
        <v>0.95</v>
      </c>
      <c r="L89" s="242">
        <f t="shared" si="123"/>
        <v>0.95</v>
      </c>
      <c r="M89" s="242">
        <f t="shared" si="123"/>
        <v>0.95</v>
      </c>
      <c r="N89" s="242">
        <f t="shared" si="123"/>
        <v>0.95</v>
      </c>
      <c r="O89" s="242">
        <f t="shared" si="123"/>
        <v>0.95</v>
      </c>
      <c r="P89" s="242">
        <f t="shared" si="123"/>
        <v>0.95</v>
      </c>
      <c r="Q89" s="242">
        <f t="shared" si="123"/>
        <v>0.95</v>
      </c>
      <c r="R89" s="242">
        <f t="shared" si="123"/>
        <v>0.95</v>
      </c>
      <c r="S89" s="242">
        <f t="shared" si="123"/>
        <v>0.95</v>
      </c>
      <c r="T89" s="242">
        <f t="shared" si="123"/>
        <v>0.95</v>
      </c>
      <c r="U89" s="242">
        <f t="shared" si="123"/>
        <v>0.95</v>
      </c>
      <c r="V89" s="242">
        <f t="shared" si="123"/>
        <v>0.95</v>
      </c>
      <c r="W89" s="242">
        <f t="shared" si="123"/>
        <v>0.95</v>
      </c>
      <c r="X89" s="242">
        <f t="shared" si="123"/>
        <v>0.95</v>
      </c>
      <c r="Y89" s="242">
        <f t="shared" si="123"/>
        <v>0.95</v>
      </c>
      <c r="Z89" s="242">
        <f t="shared" si="123"/>
        <v>0.95</v>
      </c>
      <c r="AA89" s="242">
        <f t="shared" si="123"/>
        <v>0.95</v>
      </c>
      <c r="AB89" s="242">
        <f t="shared" si="123"/>
        <v>0.95</v>
      </c>
      <c r="AC89" s="242">
        <f t="shared" si="123"/>
        <v>0.95</v>
      </c>
      <c r="AD89" s="242">
        <f t="shared" si="123"/>
        <v>0.95</v>
      </c>
      <c r="AE89" s="214"/>
    </row>
    <row r="90" spans="2:31">
      <c r="D90" s="153"/>
      <c r="E90" s="154"/>
      <c r="AE90" s="214"/>
    </row>
    <row r="91" spans="2:31">
      <c r="B91" s="156" t="s">
        <v>178</v>
      </c>
      <c r="C91" s="193" t="s">
        <v>6</v>
      </c>
      <c r="D91" s="153"/>
      <c r="E91" s="154"/>
      <c r="AE91" s="214"/>
    </row>
    <row r="92" spans="2:31">
      <c r="B92" s="159" t="str">
        <f>Assumptions!J27</f>
        <v xml:space="preserve">Retail &amp; Entertainment </v>
      </c>
      <c r="C92" s="194">
        <f>Assumptions!M40</f>
        <v>3</v>
      </c>
      <c r="D92" s="153">
        <v>0</v>
      </c>
      <c r="E92" s="154">
        <v>0</v>
      </c>
      <c r="F92" s="196">
        <v>1</v>
      </c>
      <c r="G92" s="195">
        <f>IF(MOD(F$55,$C92)=0,(F92*(1+Assumptions!$L40)),F92)</f>
        <v>1</v>
      </c>
      <c r="H92" s="195">
        <f>IF(MOD(G$55,$C92)=0,(G92*(1+Assumptions!$L40)),G92)</f>
        <v>1</v>
      </c>
      <c r="I92" s="195">
        <f>IF(MOD(H$55,$C92)=0,(H92*(1+Assumptions!$L40)),H92)</f>
        <v>1.1499999999999999</v>
      </c>
      <c r="J92" s="195">
        <f>IF(MOD(I$55,$C92)=0,(I92*(1+Assumptions!$L40)),I92)</f>
        <v>1.1499999999999999</v>
      </c>
      <c r="K92" s="195">
        <f>IF(MOD(J$55,$C92)=0,(J92*(1+Assumptions!$L40)),J92)</f>
        <v>1.1499999999999999</v>
      </c>
      <c r="L92" s="195">
        <f>IF(MOD(K$55,$C92)=0,(K92*(1+Assumptions!$L40)),K92)</f>
        <v>1.3224999999999998</v>
      </c>
      <c r="M92" s="195">
        <f>IF(MOD(L$55,$C92)=0,(L92*(1+Assumptions!$L40)),L92)</f>
        <v>1.3224999999999998</v>
      </c>
      <c r="N92" s="195">
        <f>IF(MOD(M$55,$C92)=0,(M92*(1+Assumptions!$L40)),M92)</f>
        <v>1.3224999999999998</v>
      </c>
      <c r="O92" s="195">
        <f>IF(MOD(N$55,$C92)=0,(N92*(1+Assumptions!$L40)),N92)</f>
        <v>1.5208749999999995</v>
      </c>
      <c r="P92" s="195">
        <f>IF(MOD(O$55,$C92)=0,(O92*(1+Assumptions!$L40)),O92)</f>
        <v>1.5208749999999995</v>
      </c>
      <c r="Q92" s="195">
        <f>IF(MOD(P$55,$C92)=0,(P92*(1+Assumptions!$L40)),P92)</f>
        <v>1.5208749999999995</v>
      </c>
      <c r="R92" s="195">
        <f>IF(MOD(Q$55,$C92)=0,(Q92*(1+Assumptions!$L40)),Q92)</f>
        <v>1.7490062499999994</v>
      </c>
      <c r="S92" s="195">
        <f>IF(MOD(R$55,$C92)=0,(R92*(1+Assumptions!$L40)),R92)</f>
        <v>1.7490062499999994</v>
      </c>
      <c r="T92" s="195">
        <f>IF(MOD(S$55,$C92)=0,(S92*(1+Assumptions!$L40)),S92)</f>
        <v>1.7490062499999994</v>
      </c>
      <c r="U92" s="195">
        <f>IF(MOD(T$55,$C92)=0,(T92*(1+Assumptions!$L40)),T92)</f>
        <v>2.0113571874999994</v>
      </c>
      <c r="V92" s="195">
        <f>IF(MOD(U$55,$C92)=0,(U92*(1+Assumptions!$L40)),U92)</f>
        <v>2.0113571874999994</v>
      </c>
      <c r="W92" s="195">
        <f>IF(MOD(V$55,$C92)=0,(V92*(1+Assumptions!$L40)),V92)</f>
        <v>2.0113571874999994</v>
      </c>
      <c r="X92" s="195">
        <f>IF(MOD(W$55,$C92)=0,(W92*(1+Assumptions!$L40)),W92)</f>
        <v>2.3130607656249991</v>
      </c>
      <c r="Y92" s="195">
        <f>IF(MOD(X$55,$C92)=0,(X92*(1+Assumptions!$L40)),X92)</f>
        <v>2.3130607656249991</v>
      </c>
      <c r="Z92" s="195">
        <f>IF(MOD(Y$55,$C92)=0,(Y92*(1+Assumptions!$L40)),Y92)</f>
        <v>2.3130607656249991</v>
      </c>
      <c r="AA92" s="195">
        <f>IF(MOD(Z$55,$C92)=0,(Z92*(1+Assumptions!$L40)),Z92)</f>
        <v>2.6600198804687487</v>
      </c>
      <c r="AB92" s="195">
        <f>IF(MOD(AA$55,$C92)=0,(AA92*(1+Assumptions!$L40)),AA92)</f>
        <v>2.6600198804687487</v>
      </c>
      <c r="AC92" s="195">
        <f>IF(MOD(AB$55,$C92)=0,(AB92*(1+Assumptions!$L40)),AB92)</f>
        <v>2.6600198804687487</v>
      </c>
      <c r="AD92" s="195">
        <f>IF(MOD(AC$55,$C92)=0,(AC92*(1+Assumptions!$L40)),AC92)</f>
        <v>3.0590228625390607</v>
      </c>
      <c r="AE92" s="214"/>
    </row>
    <row r="93" spans="2:31">
      <c r="B93" s="159" t="str">
        <f>Assumptions!J28</f>
        <v>Entirtainment Offices</v>
      </c>
      <c r="C93" s="194">
        <f>Assumptions!M41</f>
        <v>3</v>
      </c>
      <c r="D93" s="153">
        <v>0</v>
      </c>
      <c r="E93" s="154">
        <v>0</v>
      </c>
      <c r="F93" s="196">
        <v>1</v>
      </c>
      <c r="G93" s="195">
        <f>IF(MOD(F$55,$C93)=0,(F93*(1+Assumptions!$L41)),F93)</f>
        <v>1</v>
      </c>
      <c r="H93" s="195">
        <f>IF(MOD(G$55,$C93)=0,(G93*(1+Assumptions!$L41)),G93)</f>
        <v>1</v>
      </c>
      <c r="I93" s="195">
        <f>IF(MOD(H$55,$C93)=0,(H93*(1+Assumptions!$L41)),H93)</f>
        <v>1.1499999999999999</v>
      </c>
      <c r="J93" s="195">
        <f>IF(MOD(I$55,$C93)=0,(I93*(1+Assumptions!$L41)),I93)</f>
        <v>1.1499999999999999</v>
      </c>
      <c r="K93" s="195">
        <f>IF(MOD(J$55,$C93)=0,(J93*(1+Assumptions!$L41)),J93)</f>
        <v>1.1499999999999999</v>
      </c>
      <c r="L93" s="195">
        <f>IF(MOD(K$55,$C93)=0,(K93*(1+Assumptions!$L41)),K93)</f>
        <v>1.3224999999999998</v>
      </c>
      <c r="M93" s="195">
        <f>IF(MOD(L$55,$C93)=0,(L93*(1+Assumptions!$L41)),L93)</f>
        <v>1.3224999999999998</v>
      </c>
      <c r="N93" s="195">
        <f>IF(MOD(M$55,$C93)=0,(M93*(1+Assumptions!$L41)),M93)</f>
        <v>1.3224999999999998</v>
      </c>
      <c r="O93" s="195">
        <f>IF(MOD(N$55,$C93)=0,(N93*(1+Assumptions!$L41)),N93)</f>
        <v>1.5208749999999995</v>
      </c>
      <c r="P93" s="195">
        <f>IF(MOD(O$55,$C93)=0,(O93*(1+Assumptions!$L41)),O93)</f>
        <v>1.5208749999999995</v>
      </c>
      <c r="Q93" s="195">
        <f>IF(MOD(P$55,$C93)=0,(P93*(1+Assumptions!$L41)),P93)</f>
        <v>1.5208749999999995</v>
      </c>
      <c r="R93" s="195">
        <f>IF(MOD(Q$55,$C93)=0,(Q93*(1+Assumptions!$L41)),Q93)</f>
        <v>1.7490062499999994</v>
      </c>
      <c r="S93" s="195">
        <f>IF(MOD(R$55,$C93)=0,(R93*(1+Assumptions!$L41)),R93)</f>
        <v>1.7490062499999994</v>
      </c>
      <c r="T93" s="195">
        <f>IF(MOD(S$55,$C93)=0,(S93*(1+Assumptions!$L41)),S93)</f>
        <v>1.7490062499999994</v>
      </c>
      <c r="U93" s="195">
        <f>IF(MOD(T$55,$C93)=0,(T93*(1+Assumptions!$L41)),T93)</f>
        <v>2.0113571874999994</v>
      </c>
      <c r="V93" s="195">
        <f>IF(MOD(U$55,$C93)=0,(U93*(1+Assumptions!$L41)),U93)</f>
        <v>2.0113571874999994</v>
      </c>
      <c r="W93" s="195">
        <f>IF(MOD(V$55,$C93)=0,(V93*(1+Assumptions!$L41)),V93)</f>
        <v>2.0113571874999994</v>
      </c>
      <c r="X93" s="195">
        <f>IF(MOD(W$55,$C93)=0,(W93*(1+Assumptions!$L41)),W93)</f>
        <v>2.3130607656249991</v>
      </c>
      <c r="Y93" s="195">
        <f>IF(MOD(X$55,$C93)=0,(X93*(1+Assumptions!$L41)),X93)</f>
        <v>2.3130607656249991</v>
      </c>
      <c r="Z93" s="195">
        <f>IF(MOD(Y$55,$C93)=0,(Y93*(1+Assumptions!$L41)),Y93)</f>
        <v>2.3130607656249991</v>
      </c>
      <c r="AA93" s="195">
        <f>IF(MOD(Z$55,$C93)=0,(Z93*(1+Assumptions!$L41)),Z93)</f>
        <v>2.6600198804687487</v>
      </c>
      <c r="AB93" s="195">
        <f>IF(MOD(AA$55,$C93)=0,(AA93*(1+Assumptions!$L41)),AA93)</f>
        <v>2.6600198804687487</v>
      </c>
      <c r="AC93" s="195">
        <f>IF(MOD(AB$55,$C93)=0,(AB93*(1+Assumptions!$L41)),AB93)</f>
        <v>2.6600198804687487</v>
      </c>
      <c r="AD93" s="195">
        <f>IF(MOD(AC$55,$C93)=0,(AC93*(1+Assumptions!$L41)),AC93)</f>
        <v>3.0590228625390607</v>
      </c>
      <c r="AE93" s="214"/>
    </row>
    <row r="94" spans="2:31">
      <c r="B94" s="159"/>
      <c r="D94" s="153"/>
      <c r="E94" s="154"/>
      <c r="AE94" s="214"/>
    </row>
    <row r="95" spans="2:31">
      <c r="B95" s="156" t="s">
        <v>179</v>
      </c>
      <c r="D95" s="153"/>
      <c r="E95" s="154"/>
      <c r="AE95" s="214"/>
    </row>
    <row r="96" spans="2:31">
      <c r="B96" s="159" t="str">
        <f>Assumptions!J27</f>
        <v xml:space="preserve">Retail &amp; Entertainment </v>
      </c>
      <c r="C96" s="197">
        <f>Assumptions!M27</f>
        <v>1400</v>
      </c>
      <c r="D96" s="153">
        <f t="shared" ref="D96:E96" si="124">$C96*D92</f>
        <v>0</v>
      </c>
      <c r="E96" s="154">
        <f t="shared" si="124"/>
        <v>0</v>
      </c>
      <c r="F96" s="152">
        <f>$C96*F92</f>
        <v>1400</v>
      </c>
      <c r="G96" s="152">
        <f t="shared" ref="G96:W96" si="125">$C96*G92</f>
        <v>1400</v>
      </c>
      <c r="H96" s="152">
        <f t="shared" si="125"/>
        <v>1400</v>
      </c>
      <c r="I96" s="152">
        <f t="shared" si="125"/>
        <v>1609.9999999999998</v>
      </c>
      <c r="J96" s="152">
        <f t="shared" si="125"/>
        <v>1609.9999999999998</v>
      </c>
      <c r="K96" s="152">
        <f t="shared" si="125"/>
        <v>1609.9999999999998</v>
      </c>
      <c r="L96" s="152">
        <f t="shared" si="125"/>
        <v>1851.4999999999998</v>
      </c>
      <c r="M96" s="152">
        <f t="shared" si="125"/>
        <v>1851.4999999999998</v>
      </c>
      <c r="N96" s="152">
        <f t="shared" si="125"/>
        <v>1851.4999999999998</v>
      </c>
      <c r="O96" s="152">
        <f t="shared" si="125"/>
        <v>2129.2249999999995</v>
      </c>
      <c r="P96" s="152">
        <f t="shared" si="125"/>
        <v>2129.2249999999995</v>
      </c>
      <c r="Q96" s="152">
        <f t="shared" si="125"/>
        <v>2129.2249999999995</v>
      </c>
      <c r="R96" s="152">
        <f t="shared" si="125"/>
        <v>2448.6087499999994</v>
      </c>
      <c r="S96" s="152">
        <f t="shared" si="125"/>
        <v>2448.6087499999994</v>
      </c>
      <c r="T96" s="152">
        <f t="shared" si="125"/>
        <v>2448.6087499999994</v>
      </c>
      <c r="U96" s="152">
        <f t="shared" si="125"/>
        <v>2815.900062499999</v>
      </c>
      <c r="V96" s="152">
        <f t="shared" si="125"/>
        <v>2815.900062499999</v>
      </c>
      <c r="W96" s="152">
        <f t="shared" si="125"/>
        <v>2815.900062499999</v>
      </c>
      <c r="X96" s="152">
        <f t="shared" ref="X96:AA96" si="126">$C96*X92</f>
        <v>3238.2850718749987</v>
      </c>
      <c r="Y96" s="152">
        <f t="shared" si="126"/>
        <v>3238.2850718749987</v>
      </c>
      <c r="Z96" s="152">
        <f t="shared" si="126"/>
        <v>3238.2850718749987</v>
      </c>
      <c r="AA96" s="152">
        <f t="shared" si="126"/>
        <v>3724.0278326562484</v>
      </c>
      <c r="AB96" s="152">
        <f t="shared" ref="AB96:AD96" si="127">$C96*AB92</f>
        <v>3724.0278326562484</v>
      </c>
      <c r="AC96" s="152">
        <f t="shared" si="127"/>
        <v>3724.0278326562484</v>
      </c>
      <c r="AD96" s="152">
        <f t="shared" si="127"/>
        <v>4282.6320075546846</v>
      </c>
      <c r="AE96" s="214"/>
    </row>
    <row r="97" spans="1:31">
      <c r="B97" s="159" t="str">
        <f>Assumptions!J28</f>
        <v>Entirtainment Offices</v>
      </c>
      <c r="C97" s="197">
        <f>Assumptions!M28</f>
        <v>700</v>
      </c>
      <c r="D97" s="153">
        <f t="shared" ref="D97:W97" si="128">$C97*D93</f>
        <v>0</v>
      </c>
      <c r="E97" s="154">
        <f t="shared" si="128"/>
        <v>0</v>
      </c>
      <c r="F97" s="152">
        <f t="shared" si="128"/>
        <v>700</v>
      </c>
      <c r="G97" s="152">
        <f t="shared" si="128"/>
        <v>700</v>
      </c>
      <c r="H97" s="152">
        <f t="shared" si="128"/>
        <v>700</v>
      </c>
      <c r="I97" s="152">
        <f t="shared" si="128"/>
        <v>804.99999999999989</v>
      </c>
      <c r="J97" s="152">
        <f t="shared" si="128"/>
        <v>804.99999999999989</v>
      </c>
      <c r="K97" s="152">
        <f t="shared" si="128"/>
        <v>804.99999999999989</v>
      </c>
      <c r="L97" s="152">
        <f t="shared" si="128"/>
        <v>925.74999999999989</v>
      </c>
      <c r="M97" s="152">
        <f t="shared" si="128"/>
        <v>925.74999999999989</v>
      </c>
      <c r="N97" s="152">
        <f t="shared" si="128"/>
        <v>925.74999999999989</v>
      </c>
      <c r="O97" s="152">
        <f t="shared" si="128"/>
        <v>1064.6124999999997</v>
      </c>
      <c r="P97" s="152">
        <f t="shared" si="128"/>
        <v>1064.6124999999997</v>
      </c>
      <c r="Q97" s="152">
        <f t="shared" si="128"/>
        <v>1064.6124999999997</v>
      </c>
      <c r="R97" s="152">
        <f t="shared" si="128"/>
        <v>1224.3043749999997</v>
      </c>
      <c r="S97" s="152">
        <f t="shared" si="128"/>
        <v>1224.3043749999997</v>
      </c>
      <c r="T97" s="152">
        <f t="shared" si="128"/>
        <v>1224.3043749999997</v>
      </c>
      <c r="U97" s="152">
        <f t="shared" si="128"/>
        <v>1407.9500312499995</v>
      </c>
      <c r="V97" s="152">
        <f t="shared" si="128"/>
        <v>1407.9500312499995</v>
      </c>
      <c r="W97" s="152">
        <f t="shared" si="128"/>
        <v>1407.9500312499995</v>
      </c>
      <c r="X97" s="152">
        <f t="shared" ref="X97:AA97" si="129">$C97*X93</f>
        <v>1619.1425359374994</v>
      </c>
      <c r="Y97" s="152">
        <f t="shared" si="129"/>
        <v>1619.1425359374994</v>
      </c>
      <c r="Z97" s="152">
        <f t="shared" si="129"/>
        <v>1619.1425359374994</v>
      </c>
      <c r="AA97" s="152">
        <f t="shared" si="129"/>
        <v>1862.0139163281242</v>
      </c>
      <c r="AB97" s="152">
        <f t="shared" ref="AB97:AD97" si="130">$C97*AB93</f>
        <v>1862.0139163281242</v>
      </c>
      <c r="AC97" s="152">
        <f t="shared" si="130"/>
        <v>1862.0139163281242</v>
      </c>
      <c r="AD97" s="152">
        <f t="shared" si="130"/>
        <v>2141.3160037773423</v>
      </c>
      <c r="AE97" s="214"/>
    </row>
    <row r="98" spans="1:31">
      <c r="D98" s="153"/>
      <c r="E98" s="154"/>
      <c r="AE98" s="214"/>
    </row>
    <row r="99" spans="1:31" ht="14.4">
      <c r="A99" s="152" t="s">
        <v>96</v>
      </c>
      <c r="B99" s="147" t="s">
        <v>180</v>
      </c>
      <c r="C99" s="165"/>
      <c r="D99" s="166" t="s">
        <v>159</v>
      </c>
      <c r="E99" s="167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</row>
    <row r="100" spans="1:31">
      <c r="D100" s="153"/>
      <c r="E100" s="154"/>
      <c r="AE100" s="214"/>
    </row>
    <row r="101" spans="1:31">
      <c r="B101" s="158" t="s">
        <v>35</v>
      </c>
      <c r="D101" s="153"/>
      <c r="E101" s="154"/>
      <c r="AE101" s="214"/>
    </row>
    <row r="102" spans="1:31">
      <c r="D102" s="153"/>
      <c r="E102" s="154"/>
      <c r="AE102" s="214"/>
    </row>
    <row r="103" spans="1:31">
      <c r="B103" s="156" t="s">
        <v>181</v>
      </c>
      <c r="D103" s="204">
        <f>SUM(D104:D106)</f>
        <v>0</v>
      </c>
      <c r="E103" s="205">
        <f t="shared" ref="E103:W103" si="131">SUM(E104:E106)</f>
        <v>0</v>
      </c>
      <c r="F103" s="206">
        <f t="shared" si="131"/>
        <v>12171154.949999999</v>
      </c>
      <c r="G103" s="206">
        <f t="shared" si="131"/>
        <v>17310087.039999999</v>
      </c>
      <c r="H103" s="206">
        <f t="shared" si="131"/>
        <v>18121497.370000001</v>
      </c>
      <c r="I103" s="206">
        <f t="shared" si="131"/>
        <v>20839721.975499999</v>
      </c>
      <c r="J103" s="206">
        <f t="shared" si="131"/>
        <v>20839721.975499999</v>
      </c>
      <c r="K103" s="206">
        <f t="shared" si="131"/>
        <v>20839721.975499999</v>
      </c>
      <c r="L103" s="206">
        <f t="shared" si="131"/>
        <v>23965680.271824997</v>
      </c>
      <c r="M103" s="206">
        <f t="shared" si="131"/>
        <v>23965680.271824997</v>
      </c>
      <c r="N103" s="206">
        <f t="shared" si="131"/>
        <v>23965680.271824997</v>
      </c>
      <c r="O103" s="206">
        <f t="shared" si="131"/>
        <v>27560532.312598739</v>
      </c>
      <c r="P103" s="206">
        <f t="shared" si="131"/>
        <v>27560532.312598739</v>
      </c>
      <c r="Q103" s="206">
        <f t="shared" si="131"/>
        <v>27560532.312598739</v>
      </c>
      <c r="R103" s="206">
        <f t="shared" si="131"/>
        <v>31694612.159488551</v>
      </c>
      <c r="S103" s="206">
        <f t="shared" si="131"/>
        <v>31694612.159488551</v>
      </c>
      <c r="T103" s="206">
        <f t="shared" si="131"/>
        <v>31694612.159488551</v>
      </c>
      <c r="U103" s="206">
        <f t="shared" si="131"/>
        <v>36448803.983411834</v>
      </c>
      <c r="V103" s="206">
        <f t="shared" si="131"/>
        <v>36448803.983411834</v>
      </c>
      <c r="W103" s="206">
        <f t="shared" si="131"/>
        <v>36448803.983411834</v>
      </c>
      <c r="X103" s="206">
        <f t="shared" ref="X103" si="132">SUM(X104:X106)</f>
        <v>41916124.580923602</v>
      </c>
      <c r="Y103" s="206">
        <f t="shared" ref="Y103" si="133">SUM(Y104:Y106)</f>
        <v>41916124.580923602</v>
      </c>
      <c r="Z103" s="206">
        <f t="shared" ref="Z103" si="134">SUM(Z104:Z106)</f>
        <v>41916124.580923602</v>
      </c>
      <c r="AA103" s="206">
        <f t="shared" ref="AA103:AB103" si="135">SUM(AA104:AA106)</f>
        <v>48203543.268062145</v>
      </c>
      <c r="AB103" s="206">
        <f t="shared" si="135"/>
        <v>48203543.268062145</v>
      </c>
      <c r="AC103" s="206">
        <f t="shared" ref="AC103" si="136">SUM(AC104:AC106)</f>
        <v>48203543.268062145</v>
      </c>
      <c r="AD103" s="206">
        <f t="shared" ref="AD103" si="137">SUM(AD104:AD106)</f>
        <v>55434074.758271463</v>
      </c>
      <c r="AE103" s="214"/>
    </row>
    <row r="104" spans="1:31">
      <c r="B104" s="159" t="str">
        <f>Assumptions!J19</f>
        <v>Hotel 32m - Studio</v>
      </c>
      <c r="D104" s="153">
        <f t="shared" ref="D104:W104" si="138">D62*D72*D77*D$57</f>
        <v>0</v>
      </c>
      <c r="E104" s="154">
        <f t="shared" si="138"/>
        <v>0</v>
      </c>
      <c r="F104" s="152">
        <f t="shared" si="138"/>
        <v>4102636.4999999995</v>
      </c>
      <c r="G104" s="152">
        <f t="shared" si="138"/>
        <v>5834860.7999999998</v>
      </c>
      <c r="H104" s="152">
        <f t="shared" si="138"/>
        <v>6108369.8999999994</v>
      </c>
      <c r="I104" s="152">
        <f t="shared" si="138"/>
        <v>7024625.3849999979</v>
      </c>
      <c r="J104" s="152">
        <f t="shared" si="138"/>
        <v>7024625.3849999979</v>
      </c>
      <c r="K104" s="152">
        <f t="shared" si="138"/>
        <v>7024625.3849999979</v>
      </c>
      <c r="L104" s="152">
        <f t="shared" si="138"/>
        <v>8078319.1927499985</v>
      </c>
      <c r="M104" s="152">
        <f t="shared" si="138"/>
        <v>8078319.1927499985</v>
      </c>
      <c r="N104" s="152">
        <f t="shared" si="138"/>
        <v>8078319.1927499985</v>
      </c>
      <c r="O104" s="152">
        <f t="shared" si="138"/>
        <v>9290067.0716624968</v>
      </c>
      <c r="P104" s="152">
        <f t="shared" si="138"/>
        <v>9290067.0716624968</v>
      </c>
      <c r="Q104" s="152">
        <f t="shared" si="138"/>
        <v>9290067.0716624968</v>
      </c>
      <c r="R104" s="152">
        <f t="shared" si="138"/>
        <v>10683577.132411869</v>
      </c>
      <c r="S104" s="152">
        <f t="shared" si="138"/>
        <v>10683577.132411869</v>
      </c>
      <c r="T104" s="152">
        <f t="shared" si="138"/>
        <v>10683577.132411869</v>
      </c>
      <c r="U104" s="152">
        <f t="shared" si="138"/>
        <v>12286113.702273652</v>
      </c>
      <c r="V104" s="152">
        <f t="shared" si="138"/>
        <v>12286113.702273652</v>
      </c>
      <c r="W104" s="152">
        <f t="shared" si="138"/>
        <v>12286113.702273652</v>
      </c>
      <c r="X104" s="152">
        <f t="shared" ref="X104:AA104" si="139">X62*X72*X77*X$57</f>
        <v>14129030.757614698</v>
      </c>
      <c r="Y104" s="152">
        <f t="shared" si="139"/>
        <v>14129030.757614698</v>
      </c>
      <c r="Z104" s="152">
        <f t="shared" si="139"/>
        <v>14129030.757614698</v>
      </c>
      <c r="AA104" s="152">
        <f t="shared" si="139"/>
        <v>16248385.371256903</v>
      </c>
      <c r="AB104" s="152">
        <f t="shared" ref="AB104:AD104" si="140">AB62*AB72*AB77*AB$57</f>
        <v>16248385.371256903</v>
      </c>
      <c r="AC104" s="152">
        <f t="shared" si="140"/>
        <v>16248385.371256903</v>
      </c>
      <c r="AD104" s="152">
        <f t="shared" si="140"/>
        <v>18685643.176945437</v>
      </c>
      <c r="AE104" s="214"/>
    </row>
    <row r="105" spans="1:31">
      <c r="B105" s="159" t="str">
        <f>Assumptions!J20</f>
        <v>Hotel 48m - 1 Bed Room</v>
      </c>
      <c r="D105" s="153">
        <f t="shared" ref="D105:W105" si="141">D63*D73*D78*D$57</f>
        <v>0</v>
      </c>
      <c r="E105" s="154">
        <f t="shared" si="141"/>
        <v>0</v>
      </c>
      <c r="F105" s="152">
        <f t="shared" si="141"/>
        <v>4649654.6999999993</v>
      </c>
      <c r="G105" s="152">
        <f t="shared" si="141"/>
        <v>6612842.2400000002</v>
      </c>
      <c r="H105" s="152">
        <f t="shared" si="141"/>
        <v>6922819.2200000007</v>
      </c>
      <c r="I105" s="152">
        <f t="shared" si="141"/>
        <v>7961242.1029999992</v>
      </c>
      <c r="J105" s="152">
        <f t="shared" si="141"/>
        <v>7961242.1029999992</v>
      </c>
      <c r="K105" s="152">
        <f t="shared" si="141"/>
        <v>7961242.1029999992</v>
      </c>
      <c r="L105" s="152">
        <f t="shared" si="141"/>
        <v>9155428.4184499979</v>
      </c>
      <c r="M105" s="152">
        <f t="shared" si="141"/>
        <v>9155428.4184499979</v>
      </c>
      <c r="N105" s="152">
        <f t="shared" si="141"/>
        <v>9155428.4184499979</v>
      </c>
      <c r="O105" s="152">
        <f t="shared" si="141"/>
        <v>10528742.681217497</v>
      </c>
      <c r="P105" s="152">
        <f t="shared" si="141"/>
        <v>10528742.681217497</v>
      </c>
      <c r="Q105" s="152">
        <f t="shared" si="141"/>
        <v>10528742.681217497</v>
      </c>
      <c r="R105" s="152">
        <f t="shared" si="141"/>
        <v>12108054.083400119</v>
      </c>
      <c r="S105" s="152">
        <f t="shared" si="141"/>
        <v>12108054.083400119</v>
      </c>
      <c r="T105" s="152">
        <f t="shared" si="141"/>
        <v>12108054.083400119</v>
      </c>
      <c r="U105" s="152">
        <f t="shared" si="141"/>
        <v>13924262.195910137</v>
      </c>
      <c r="V105" s="152">
        <f t="shared" si="141"/>
        <v>13924262.195910137</v>
      </c>
      <c r="W105" s="152">
        <f t="shared" si="141"/>
        <v>13924262.195910137</v>
      </c>
      <c r="X105" s="152">
        <f t="shared" ref="X105:AA105" si="142">X63*X73*X78*X$57</f>
        <v>16012901.525296658</v>
      </c>
      <c r="Y105" s="152">
        <f t="shared" si="142"/>
        <v>16012901.525296658</v>
      </c>
      <c r="Z105" s="152">
        <f t="shared" si="142"/>
        <v>16012901.525296658</v>
      </c>
      <c r="AA105" s="152">
        <f t="shared" si="142"/>
        <v>18414836.754091155</v>
      </c>
      <c r="AB105" s="152">
        <f t="shared" ref="AB105:AD105" si="143">AB63*AB73*AB78*AB$57</f>
        <v>18414836.754091155</v>
      </c>
      <c r="AC105" s="152">
        <f t="shared" si="143"/>
        <v>18414836.754091155</v>
      </c>
      <c r="AD105" s="152">
        <f t="shared" si="143"/>
        <v>21177062.267204825</v>
      </c>
      <c r="AE105" s="214"/>
    </row>
    <row r="106" spans="1:31">
      <c r="B106" s="159" t="str">
        <f>Assumptions!J21</f>
        <v>Hotel 64m - 2 Bed Room</v>
      </c>
      <c r="D106" s="153">
        <f t="shared" ref="D106:W106" si="144">D64*D74*D79*D$57</f>
        <v>0</v>
      </c>
      <c r="E106" s="154">
        <f t="shared" si="144"/>
        <v>0</v>
      </c>
      <c r="F106" s="152">
        <f t="shared" si="144"/>
        <v>3418863.75</v>
      </c>
      <c r="G106" s="152">
        <f t="shared" si="144"/>
        <v>4862384</v>
      </c>
      <c r="H106" s="152">
        <f t="shared" si="144"/>
        <v>5090308.25</v>
      </c>
      <c r="I106" s="152">
        <f t="shared" si="144"/>
        <v>5853854.4874999998</v>
      </c>
      <c r="J106" s="152">
        <f t="shared" si="144"/>
        <v>5853854.4874999998</v>
      </c>
      <c r="K106" s="152">
        <f t="shared" si="144"/>
        <v>5853854.4874999998</v>
      </c>
      <c r="L106" s="152">
        <f t="shared" si="144"/>
        <v>6731932.6606249986</v>
      </c>
      <c r="M106" s="152">
        <f t="shared" si="144"/>
        <v>6731932.6606249986</v>
      </c>
      <c r="N106" s="152">
        <f t="shared" si="144"/>
        <v>6731932.6606249986</v>
      </c>
      <c r="O106" s="152">
        <f t="shared" si="144"/>
        <v>7741722.5597187476</v>
      </c>
      <c r="P106" s="152">
        <f t="shared" si="144"/>
        <v>7741722.5597187476</v>
      </c>
      <c r="Q106" s="152">
        <f t="shared" si="144"/>
        <v>7741722.5597187476</v>
      </c>
      <c r="R106" s="152">
        <f t="shared" si="144"/>
        <v>8902980.9436765611</v>
      </c>
      <c r="S106" s="152">
        <f t="shared" si="144"/>
        <v>8902980.9436765611</v>
      </c>
      <c r="T106" s="152">
        <f t="shared" si="144"/>
        <v>8902980.9436765611</v>
      </c>
      <c r="U106" s="152">
        <f t="shared" si="144"/>
        <v>10238428.085228045</v>
      </c>
      <c r="V106" s="152">
        <f t="shared" si="144"/>
        <v>10238428.085228045</v>
      </c>
      <c r="W106" s="152">
        <f t="shared" si="144"/>
        <v>10238428.085228045</v>
      </c>
      <c r="X106" s="152">
        <f t="shared" ref="X106:AA106" si="145">X64*X74*X79*X$57</f>
        <v>11774192.298012249</v>
      </c>
      <c r="Y106" s="152">
        <f t="shared" si="145"/>
        <v>11774192.298012249</v>
      </c>
      <c r="Z106" s="152">
        <f t="shared" si="145"/>
        <v>11774192.298012249</v>
      </c>
      <c r="AA106" s="152">
        <f t="shared" si="145"/>
        <v>13540321.142714085</v>
      </c>
      <c r="AB106" s="152">
        <f t="shared" ref="AB106:AD106" si="146">AB64*AB74*AB79*AB$57</f>
        <v>13540321.142714085</v>
      </c>
      <c r="AC106" s="152">
        <f t="shared" si="146"/>
        <v>13540321.142714085</v>
      </c>
      <c r="AD106" s="152">
        <f t="shared" si="146"/>
        <v>15571369.3141212</v>
      </c>
      <c r="AE106" s="214"/>
    </row>
    <row r="107" spans="1:31">
      <c r="D107" s="153"/>
      <c r="E107" s="154"/>
      <c r="AE107" s="214"/>
    </row>
    <row r="108" spans="1:31">
      <c r="B108" s="156" t="s">
        <v>47</v>
      </c>
      <c r="D108" s="204">
        <f t="shared" ref="D108:W108" si="147">D81*D103</f>
        <v>0</v>
      </c>
      <c r="E108" s="205">
        <f t="shared" si="147"/>
        <v>0</v>
      </c>
      <c r="F108" s="206">
        <f t="shared" si="147"/>
        <v>4259904.2324999999</v>
      </c>
      <c r="G108" s="206">
        <f t="shared" si="147"/>
        <v>6058530.4639999997</v>
      </c>
      <c r="H108" s="206">
        <f t="shared" si="147"/>
        <v>6342524.0795</v>
      </c>
      <c r="I108" s="206">
        <f t="shared" si="147"/>
        <v>7293902.6914249994</v>
      </c>
      <c r="J108" s="206">
        <f t="shared" si="147"/>
        <v>7293902.6914249994</v>
      </c>
      <c r="K108" s="206">
        <f t="shared" si="147"/>
        <v>7293902.6914249994</v>
      </c>
      <c r="L108" s="206">
        <f t="shared" si="147"/>
        <v>8387988.0951387482</v>
      </c>
      <c r="M108" s="206">
        <f t="shared" si="147"/>
        <v>8387988.0951387482</v>
      </c>
      <c r="N108" s="206">
        <f t="shared" si="147"/>
        <v>8387988.0951387482</v>
      </c>
      <c r="O108" s="206">
        <f t="shared" si="147"/>
        <v>9646186.3094095588</v>
      </c>
      <c r="P108" s="206">
        <f t="shared" si="147"/>
        <v>9646186.3094095588</v>
      </c>
      <c r="Q108" s="206">
        <f t="shared" si="147"/>
        <v>9646186.3094095588</v>
      </c>
      <c r="R108" s="206">
        <f t="shared" si="147"/>
        <v>11093114.255820991</v>
      </c>
      <c r="S108" s="206">
        <f t="shared" si="147"/>
        <v>11093114.255820991</v>
      </c>
      <c r="T108" s="206">
        <f t="shared" si="147"/>
        <v>11093114.255820991</v>
      </c>
      <c r="U108" s="206">
        <f t="shared" si="147"/>
        <v>12757081.394194141</v>
      </c>
      <c r="V108" s="206">
        <f t="shared" si="147"/>
        <v>12757081.394194141</v>
      </c>
      <c r="W108" s="206">
        <f t="shared" si="147"/>
        <v>12757081.394194141</v>
      </c>
      <c r="X108" s="206">
        <f t="shared" ref="X108:AA108" si="148">X81*X103</f>
        <v>14670643.60332326</v>
      </c>
      <c r="Y108" s="206">
        <f t="shared" si="148"/>
        <v>14670643.60332326</v>
      </c>
      <c r="Z108" s="206">
        <f t="shared" si="148"/>
        <v>14670643.60332326</v>
      </c>
      <c r="AA108" s="206">
        <f t="shared" si="148"/>
        <v>16871240.14382175</v>
      </c>
      <c r="AB108" s="206">
        <f t="shared" ref="AB108:AD108" si="149">AB81*AB103</f>
        <v>16871240.14382175</v>
      </c>
      <c r="AC108" s="206">
        <f t="shared" si="149"/>
        <v>16871240.14382175</v>
      </c>
      <c r="AD108" s="206">
        <f t="shared" si="149"/>
        <v>19401926.16539501</v>
      </c>
      <c r="AE108" s="214"/>
    </row>
    <row r="109" spans="1:31">
      <c r="D109" s="153"/>
      <c r="E109" s="154"/>
      <c r="AE109" s="214"/>
    </row>
    <row r="110" spans="1:31">
      <c r="B110" s="156" t="s">
        <v>182</v>
      </c>
      <c r="D110" s="204">
        <f>SUM(D111:D112)</f>
        <v>0</v>
      </c>
      <c r="E110" s="205">
        <f t="shared" ref="E110:W110" si="150">SUM(E111:E112)</f>
        <v>0</v>
      </c>
      <c r="F110" s="206">
        <f t="shared" si="150"/>
        <v>14742000</v>
      </c>
      <c r="G110" s="206">
        <f t="shared" si="150"/>
        <v>19278000</v>
      </c>
      <c r="H110" s="206">
        <f t="shared" si="150"/>
        <v>21546000</v>
      </c>
      <c r="I110" s="206">
        <f t="shared" si="150"/>
        <v>24777899.999999996</v>
      </c>
      <c r="J110" s="206">
        <f t="shared" si="150"/>
        <v>24777899.999999996</v>
      </c>
      <c r="K110" s="206">
        <f t="shared" si="150"/>
        <v>24777899.999999996</v>
      </c>
      <c r="L110" s="206">
        <f t="shared" si="150"/>
        <v>28494584.999999996</v>
      </c>
      <c r="M110" s="206">
        <f t="shared" si="150"/>
        <v>28494584.999999996</v>
      </c>
      <c r="N110" s="206">
        <f t="shared" si="150"/>
        <v>28494584.999999996</v>
      </c>
      <c r="O110" s="206">
        <f t="shared" si="150"/>
        <v>32768772.749999993</v>
      </c>
      <c r="P110" s="206">
        <f t="shared" si="150"/>
        <v>32768772.749999993</v>
      </c>
      <c r="Q110" s="206">
        <f t="shared" si="150"/>
        <v>32768772.749999993</v>
      </c>
      <c r="R110" s="206">
        <f t="shared" si="150"/>
        <v>37684088.662499987</v>
      </c>
      <c r="S110" s="206">
        <f t="shared" si="150"/>
        <v>37684088.662499987</v>
      </c>
      <c r="T110" s="206">
        <f t="shared" si="150"/>
        <v>37684088.662499987</v>
      </c>
      <c r="U110" s="206">
        <f t="shared" si="150"/>
        <v>43336701.961874984</v>
      </c>
      <c r="V110" s="206">
        <f t="shared" si="150"/>
        <v>43336701.961874984</v>
      </c>
      <c r="W110" s="206">
        <f t="shared" si="150"/>
        <v>43336701.961874984</v>
      </c>
      <c r="X110" s="206">
        <f t="shared" ref="X110" si="151">SUM(X111:X112)</f>
        <v>49837207.256156228</v>
      </c>
      <c r="Y110" s="206">
        <f t="shared" ref="Y110" si="152">SUM(Y111:Y112)</f>
        <v>49837207.256156228</v>
      </c>
      <c r="Z110" s="206">
        <f t="shared" ref="Z110" si="153">SUM(Z111:Z112)</f>
        <v>49837207.256156228</v>
      </c>
      <c r="AA110" s="206">
        <f t="shared" ref="AA110:AB110" si="154">SUM(AA111:AA112)</f>
        <v>57312788.344579659</v>
      </c>
      <c r="AB110" s="206">
        <f t="shared" si="154"/>
        <v>57312788.344579659</v>
      </c>
      <c r="AC110" s="206">
        <f t="shared" ref="AC110" si="155">SUM(AC111:AC112)</f>
        <v>57312788.344579659</v>
      </c>
      <c r="AD110" s="206">
        <f t="shared" ref="AD110" si="156">SUM(AD111:AD112)</f>
        <v>65909706.596266598</v>
      </c>
      <c r="AE110" s="214"/>
    </row>
    <row r="111" spans="1:31">
      <c r="B111" s="159" t="str">
        <f>Assumptions!J40</f>
        <v xml:space="preserve">Retail &amp; Entertainment </v>
      </c>
      <c r="D111" s="153">
        <f>D84*D96*D88</f>
        <v>0</v>
      </c>
      <c r="E111" s="154">
        <f t="shared" ref="E111:AD111" si="157">E84*E96*E88</f>
        <v>0</v>
      </c>
      <c r="F111" s="152">
        <f t="shared" si="157"/>
        <v>11102000</v>
      </c>
      <c r="G111" s="152">
        <f t="shared" si="157"/>
        <v>14518000</v>
      </c>
      <c r="H111" s="152">
        <f t="shared" si="157"/>
        <v>16226000</v>
      </c>
      <c r="I111" s="152">
        <f t="shared" si="157"/>
        <v>18659899.999999996</v>
      </c>
      <c r="J111" s="152">
        <f t="shared" si="157"/>
        <v>18659899.999999996</v>
      </c>
      <c r="K111" s="152">
        <f t="shared" si="157"/>
        <v>18659899.999999996</v>
      </c>
      <c r="L111" s="152">
        <f t="shared" si="157"/>
        <v>21458884.999999996</v>
      </c>
      <c r="M111" s="152">
        <f t="shared" si="157"/>
        <v>21458884.999999996</v>
      </c>
      <c r="N111" s="152">
        <f t="shared" si="157"/>
        <v>21458884.999999996</v>
      </c>
      <c r="O111" s="152">
        <f t="shared" si="157"/>
        <v>24677717.749999993</v>
      </c>
      <c r="P111" s="152">
        <f t="shared" si="157"/>
        <v>24677717.749999993</v>
      </c>
      <c r="Q111" s="152">
        <f t="shared" si="157"/>
        <v>24677717.749999993</v>
      </c>
      <c r="R111" s="152">
        <f t="shared" si="157"/>
        <v>28379375.41249999</v>
      </c>
      <c r="S111" s="152">
        <f t="shared" si="157"/>
        <v>28379375.41249999</v>
      </c>
      <c r="T111" s="152">
        <f t="shared" si="157"/>
        <v>28379375.41249999</v>
      </c>
      <c r="U111" s="152">
        <f t="shared" si="157"/>
        <v>32636281.724374987</v>
      </c>
      <c r="V111" s="152">
        <f t="shared" si="157"/>
        <v>32636281.724374987</v>
      </c>
      <c r="W111" s="152">
        <f t="shared" si="157"/>
        <v>32636281.724374987</v>
      </c>
      <c r="X111" s="152">
        <f t="shared" si="157"/>
        <v>37531723.983031236</v>
      </c>
      <c r="Y111" s="152">
        <f t="shared" si="157"/>
        <v>37531723.983031236</v>
      </c>
      <c r="Z111" s="152">
        <f t="shared" si="157"/>
        <v>37531723.983031236</v>
      </c>
      <c r="AA111" s="152">
        <f t="shared" si="157"/>
        <v>43161482.580485918</v>
      </c>
      <c r="AB111" s="152">
        <f t="shared" si="157"/>
        <v>43161482.580485918</v>
      </c>
      <c r="AC111" s="152">
        <f t="shared" si="157"/>
        <v>43161482.580485918</v>
      </c>
      <c r="AD111" s="152">
        <f t="shared" si="157"/>
        <v>49635704.967558794</v>
      </c>
      <c r="AE111" s="214"/>
    </row>
    <row r="112" spans="1:31">
      <c r="B112" s="159" t="str">
        <f>Assumptions!J41</f>
        <v>Entirtainment Offices</v>
      </c>
      <c r="D112" s="153">
        <f t="shared" ref="D112:AD112" si="158">D85*D97*D89</f>
        <v>0</v>
      </c>
      <c r="E112" s="154">
        <f t="shared" si="158"/>
        <v>0</v>
      </c>
      <c r="F112" s="152">
        <f t="shared" si="158"/>
        <v>3640000</v>
      </c>
      <c r="G112" s="152">
        <f t="shared" si="158"/>
        <v>4760000</v>
      </c>
      <c r="H112" s="152">
        <f t="shared" si="158"/>
        <v>5320000</v>
      </c>
      <c r="I112" s="152">
        <f t="shared" si="158"/>
        <v>6117999.9999999991</v>
      </c>
      <c r="J112" s="152">
        <f t="shared" si="158"/>
        <v>6117999.9999999991</v>
      </c>
      <c r="K112" s="152">
        <f t="shared" si="158"/>
        <v>6117999.9999999991</v>
      </c>
      <c r="L112" s="152">
        <f t="shared" si="158"/>
        <v>7035699.9999999991</v>
      </c>
      <c r="M112" s="152">
        <f t="shared" si="158"/>
        <v>7035699.9999999991</v>
      </c>
      <c r="N112" s="152">
        <f t="shared" si="158"/>
        <v>7035699.9999999991</v>
      </c>
      <c r="O112" s="152">
        <f t="shared" si="158"/>
        <v>8091054.9999999981</v>
      </c>
      <c r="P112" s="152">
        <f t="shared" si="158"/>
        <v>8091054.9999999981</v>
      </c>
      <c r="Q112" s="152">
        <f t="shared" si="158"/>
        <v>8091054.9999999981</v>
      </c>
      <c r="R112" s="152">
        <f t="shared" si="158"/>
        <v>9304713.2499999981</v>
      </c>
      <c r="S112" s="152">
        <f t="shared" si="158"/>
        <v>9304713.2499999981</v>
      </c>
      <c r="T112" s="152">
        <f t="shared" si="158"/>
        <v>9304713.2499999981</v>
      </c>
      <c r="U112" s="152">
        <f t="shared" si="158"/>
        <v>10700420.237499995</v>
      </c>
      <c r="V112" s="152">
        <f t="shared" si="158"/>
        <v>10700420.237499995</v>
      </c>
      <c r="W112" s="152">
        <f t="shared" si="158"/>
        <v>10700420.237499995</v>
      </c>
      <c r="X112" s="152">
        <f t="shared" si="158"/>
        <v>12305483.273124993</v>
      </c>
      <c r="Y112" s="152">
        <f t="shared" si="158"/>
        <v>12305483.273124993</v>
      </c>
      <c r="Z112" s="152">
        <f t="shared" si="158"/>
        <v>12305483.273124993</v>
      </c>
      <c r="AA112" s="152">
        <f t="shared" si="158"/>
        <v>14151305.764093744</v>
      </c>
      <c r="AB112" s="152">
        <f t="shared" si="158"/>
        <v>14151305.764093744</v>
      </c>
      <c r="AC112" s="152">
        <f t="shared" si="158"/>
        <v>14151305.764093744</v>
      </c>
      <c r="AD112" s="152">
        <f t="shared" si="158"/>
        <v>16274001.628707802</v>
      </c>
      <c r="AE112" s="214"/>
    </row>
    <row r="113" spans="1:31">
      <c r="D113" s="153"/>
      <c r="E113" s="154"/>
      <c r="AE113" s="214"/>
    </row>
    <row r="114" spans="1:31">
      <c r="B114" s="207" t="s">
        <v>56</v>
      </c>
      <c r="C114" s="207"/>
      <c r="D114" s="208">
        <f>D103+D108+D110</f>
        <v>0</v>
      </c>
      <c r="E114" s="209">
        <f t="shared" ref="E114:W114" si="159">E103+E108+E110</f>
        <v>0</v>
      </c>
      <c r="F114" s="207">
        <f t="shared" si="159"/>
        <v>31173059.182499997</v>
      </c>
      <c r="G114" s="207">
        <f t="shared" si="159"/>
        <v>42646617.504000001</v>
      </c>
      <c r="H114" s="207">
        <f t="shared" si="159"/>
        <v>46010021.449500002</v>
      </c>
      <c r="I114" s="207">
        <f t="shared" si="159"/>
        <v>52911524.666924998</v>
      </c>
      <c r="J114" s="207">
        <f t="shared" si="159"/>
        <v>52911524.666924998</v>
      </c>
      <c r="K114" s="207">
        <f t="shared" si="159"/>
        <v>52911524.666924998</v>
      </c>
      <c r="L114" s="207">
        <f t="shared" si="159"/>
        <v>60848253.366963744</v>
      </c>
      <c r="M114" s="207">
        <f t="shared" si="159"/>
        <v>60848253.366963744</v>
      </c>
      <c r="N114" s="207">
        <f t="shared" si="159"/>
        <v>60848253.366963744</v>
      </c>
      <c r="O114" s="207">
        <f t="shared" si="159"/>
        <v>69975491.372008294</v>
      </c>
      <c r="P114" s="207">
        <f t="shared" si="159"/>
        <v>69975491.372008294</v>
      </c>
      <c r="Q114" s="207">
        <f t="shared" si="159"/>
        <v>69975491.372008294</v>
      </c>
      <c r="R114" s="207">
        <f t="shared" si="159"/>
        <v>80471815.077809528</v>
      </c>
      <c r="S114" s="207">
        <f t="shared" si="159"/>
        <v>80471815.077809528</v>
      </c>
      <c r="T114" s="207">
        <f t="shared" si="159"/>
        <v>80471815.077809528</v>
      </c>
      <c r="U114" s="207">
        <f t="shared" si="159"/>
        <v>92542587.339480966</v>
      </c>
      <c r="V114" s="207">
        <f t="shared" si="159"/>
        <v>92542587.339480966</v>
      </c>
      <c r="W114" s="207">
        <f t="shared" si="159"/>
        <v>92542587.339480966</v>
      </c>
      <c r="X114" s="207">
        <f t="shared" ref="X114:AA114" si="160">X103+X108+X110</f>
        <v>106423975.44040309</v>
      </c>
      <c r="Y114" s="207">
        <f t="shared" si="160"/>
        <v>106423975.44040309</v>
      </c>
      <c r="Z114" s="207">
        <f t="shared" si="160"/>
        <v>106423975.44040309</v>
      </c>
      <c r="AA114" s="207">
        <f t="shared" si="160"/>
        <v>122387571.75646356</v>
      </c>
      <c r="AB114" s="207">
        <f t="shared" ref="AB114:AD114" si="161">AB103+AB108+AB110</f>
        <v>122387571.75646356</v>
      </c>
      <c r="AC114" s="207">
        <f t="shared" si="161"/>
        <v>122387571.75646356</v>
      </c>
      <c r="AD114" s="207">
        <f t="shared" si="161"/>
        <v>140745707.51993307</v>
      </c>
      <c r="AE114" s="214"/>
    </row>
    <row r="115" spans="1:31">
      <c r="D115" s="153"/>
      <c r="E115" s="154"/>
      <c r="AE115" s="214"/>
    </row>
    <row r="116" spans="1:31">
      <c r="B116" s="158" t="s">
        <v>82</v>
      </c>
      <c r="D116" s="153"/>
      <c r="E116" s="154"/>
      <c r="AE116" s="214"/>
    </row>
    <row r="117" spans="1:31">
      <c r="B117" s="152" t="str">
        <f>Assumptions!J59</f>
        <v>General Expense</v>
      </c>
      <c r="C117" s="199">
        <f>Assumptions!M59</f>
        <v>0.2</v>
      </c>
      <c r="D117" s="153">
        <f t="shared" ref="D117:AD117" si="162">$C$117*(D$103+D$108)</f>
        <v>0</v>
      </c>
      <c r="E117" s="154">
        <f t="shared" si="162"/>
        <v>0</v>
      </c>
      <c r="F117" s="152">
        <f t="shared" si="162"/>
        <v>3286211.8365000002</v>
      </c>
      <c r="G117" s="152">
        <f t="shared" si="162"/>
        <v>4673723.5008000005</v>
      </c>
      <c r="H117" s="152">
        <f t="shared" si="162"/>
        <v>4892804.2899000002</v>
      </c>
      <c r="I117" s="152">
        <f t="shared" si="162"/>
        <v>5626724.9333849996</v>
      </c>
      <c r="J117" s="152">
        <f t="shared" si="162"/>
        <v>5626724.9333849996</v>
      </c>
      <c r="K117" s="152">
        <f t="shared" si="162"/>
        <v>5626724.9333849996</v>
      </c>
      <c r="L117" s="152">
        <f t="shared" si="162"/>
        <v>6470733.6733927494</v>
      </c>
      <c r="M117" s="152">
        <f t="shared" si="162"/>
        <v>6470733.6733927494</v>
      </c>
      <c r="N117" s="152">
        <f t="shared" si="162"/>
        <v>6470733.6733927494</v>
      </c>
      <c r="O117" s="152">
        <f t="shared" si="162"/>
        <v>7441343.7244016593</v>
      </c>
      <c r="P117" s="152">
        <f t="shared" si="162"/>
        <v>7441343.7244016593</v>
      </c>
      <c r="Q117" s="152">
        <f t="shared" si="162"/>
        <v>7441343.7244016593</v>
      </c>
      <c r="R117" s="152">
        <f t="shared" si="162"/>
        <v>8557545.2830619086</v>
      </c>
      <c r="S117" s="152">
        <f t="shared" si="162"/>
        <v>8557545.2830619086</v>
      </c>
      <c r="T117" s="152">
        <f t="shared" si="162"/>
        <v>8557545.2830619086</v>
      </c>
      <c r="U117" s="152">
        <f t="shared" si="162"/>
        <v>9841177.0755211953</v>
      </c>
      <c r="V117" s="152">
        <f t="shared" si="162"/>
        <v>9841177.0755211953</v>
      </c>
      <c r="W117" s="152">
        <f t="shared" si="162"/>
        <v>9841177.0755211953</v>
      </c>
      <c r="X117" s="152">
        <f t="shared" si="162"/>
        <v>11317353.636849374</v>
      </c>
      <c r="Y117" s="152">
        <f t="shared" si="162"/>
        <v>11317353.636849374</v>
      </c>
      <c r="Z117" s="152">
        <f t="shared" si="162"/>
        <v>11317353.636849374</v>
      </c>
      <c r="AA117" s="152">
        <f t="shared" si="162"/>
        <v>13014956.68237678</v>
      </c>
      <c r="AB117" s="152">
        <f t="shared" si="162"/>
        <v>13014956.68237678</v>
      </c>
      <c r="AC117" s="152">
        <f t="shared" si="162"/>
        <v>13014956.68237678</v>
      </c>
      <c r="AD117" s="152">
        <f t="shared" si="162"/>
        <v>14967200.184733296</v>
      </c>
      <c r="AE117" s="214"/>
    </row>
    <row r="118" spans="1:31">
      <c r="B118" s="152" t="str">
        <f>Assumptions!J60</f>
        <v>Maintenance Expense</v>
      </c>
      <c r="C118" s="199">
        <f>Assumptions!M60</f>
        <v>0.02</v>
      </c>
      <c r="D118" s="153">
        <f t="shared" ref="D118:E118" si="163">$C$118*(D$103+D$108+D110)</f>
        <v>0</v>
      </c>
      <c r="E118" s="154">
        <f t="shared" si="163"/>
        <v>0</v>
      </c>
      <c r="F118" s="152">
        <f>$C$118*(F$103+F$108+F110)</f>
        <v>623461.1836499999</v>
      </c>
      <c r="G118" s="152">
        <f t="shared" ref="G118:AD118" si="164">$C$118*(G$103+G$108+G110)</f>
        <v>852932.35008</v>
      </c>
      <c r="H118" s="152">
        <f t="shared" si="164"/>
        <v>920200.42899000004</v>
      </c>
      <c r="I118" s="152">
        <f t="shared" si="164"/>
        <v>1058230.4933384999</v>
      </c>
      <c r="J118" s="152">
        <f t="shared" si="164"/>
        <v>1058230.4933384999</v>
      </c>
      <c r="K118" s="152">
        <f t="shared" si="164"/>
        <v>1058230.4933384999</v>
      </c>
      <c r="L118" s="152">
        <f t="shared" si="164"/>
        <v>1216965.0673392748</v>
      </c>
      <c r="M118" s="152">
        <f t="shared" si="164"/>
        <v>1216965.0673392748</v>
      </c>
      <c r="N118" s="152">
        <f t="shared" si="164"/>
        <v>1216965.0673392748</v>
      </c>
      <c r="O118" s="152">
        <f t="shared" si="164"/>
        <v>1399509.8274401659</v>
      </c>
      <c r="P118" s="152">
        <f t="shared" si="164"/>
        <v>1399509.8274401659</v>
      </c>
      <c r="Q118" s="152">
        <f t="shared" si="164"/>
        <v>1399509.8274401659</v>
      </c>
      <c r="R118" s="152">
        <f t="shared" si="164"/>
        <v>1609436.3015561905</v>
      </c>
      <c r="S118" s="152">
        <f t="shared" si="164"/>
        <v>1609436.3015561905</v>
      </c>
      <c r="T118" s="152">
        <f t="shared" si="164"/>
        <v>1609436.3015561905</v>
      </c>
      <c r="U118" s="152">
        <f t="shared" si="164"/>
        <v>1850851.7467896193</v>
      </c>
      <c r="V118" s="152">
        <f t="shared" si="164"/>
        <v>1850851.7467896193</v>
      </c>
      <c r="W118" s="152">
        <f t="shared" si="164"/>
        <v>1850851.7467896193</v>
      </c>
      <c r="X118" s="152">
        <f t="shared" si="164"/>
        <v>2128479.5088080619</v>
      </c>
      <c r="Y118" s="152">
        <f t="shared" si="164"/>
        <v>2128479.5088080619</v>
      </c>
      <c r="Z118" s="152">
        <f t="shared" si="164"/>
        <v>2128479.5088080619</v>
      </c>
      <c r="AA118" s="152">
        <f t="shared" si="164"/>
        <v>2447751.4351292714</v>
      </c>
      <c r="AB118" s="152">
        <f t="shared" si="164"/>
        <v>2447751.4351292714</v>
      </c>
      <c r="AC118" s="152">
        <f t="shared" si="164"/>
        <v>2447751.4351292714</v>
      </c>
      <c r="AD118" s="152">
        <f t="shared" si="164"/>
        <v>2814914.1503986614</v>
      </c>
      <c r="AE118" s="214"/>
    </row>
    <row r="119" spans="1:31">
      <c r="B119" s="152" t="str">
        <f>Assumptions!J61</f>
        <v>Operator Fee</v>
      </c>
      <c r="C119" s="199">
        <f>Assumptions!M61</f>
        <v>0.03</v>
      </c>
      <c r="D119" s="153">
        <f>$C$119*(D$103+D$108)</f>
        <v>0</v>
      </c>
      <c r="E119" s="154">
        <f t="shared" ref="E119:AD119" si="165">$C$119*(E$103+E$108)</f>
        <v>0</v>
      </c>
      <c r="F119" s="152">
        <f t="shared" si="165"/>
        <v>492931.77547499997</v>
      </c>
      <c r="G119" s="152">
        <f t="shared" si="165"/>
        <v>701058.52512000001</v>
      </c>
      <c r="H119" s="152">
        <f t="shared" si="165"/>
        <v>733920.64348500001</v>
      </c>
      <c r="I119" s="152">
        <f t="shared" si="165"/>
        <v>844008.74000774988</v>
      </c>
      <c r="J119" s="152">
        <f t="shared" si="165"/>
        <v>844008.74000774988</v>
      </c>
      <c r="K119" s="152">
        <f t="shared" si="165"/>
        <v>844008.74000774988</v>
      </c>
      <c r="L119" s="152">
        <f t="shared" si="165"/>
        <v>970610.05100891227</v>
      </c>
      <c r="M119" s="152">
        <f t="shared" si="165"/>
        <v>970610.05100891227</v>
      </c>
      <c r="N119" s="152">
        <f t="shared" si="165"/>
        <v>970610.05100891227</v>
      </c>
      <c r="O119" s="152">
        <f t="shared" si="165"/>
        <v>1116201.5586602488</v>
      </c>
      <c r="P119" s="152">
        <f t="shared" si="165"/>
        <v>1116201.5586602488</v>
      </c>
      <c r="Q119" s="152">
        <f t="shared" si="165"/>
        <v>1116201.5586602488</v>
      </c>
      <c r="R119" s="152">
        <f t="shared" si="165"/>
        <v>1283631.7924592863</v>
      </c>
      <c r="S119" s="152">
        <f t="shared" si="165"/>
        <v>1283631.7924592863</v>
      </c>
      <c r="T119" s="152">
        <f t="shared" si="165"/>
        <v>1283631.7924592863</v>
      </c>
      <c r="U119" s="152">
        <f t="shared" si="165"/>
        <v>1476176.5613281792</v>
      </c>
      <c r="V119" s="152">
        <f t="shared" si="165"/>
        <v>1476176.5613281792</v>
      </c>
      <c r="W119" s="152">
        <f t="shared" si="165"/>
        <v>1476176.5613281792</v>
      </c>
      <c r="X119" s="152">
        <f t="shared" si="165"/>
        <v>1697603.0455274058</v>
      </c>
      <c r="Y119" s="152">
        <f t="shared" si="165"/>
        <v>1697603.0455274058</v>
      </c>
      <c r="Z119" s="152">
        <f t="shared" si="165"/>
        <v>1697603.0455274058</v>
      </c>
      <c r="AA119" s="152">
        <f t="shared" si="165"/>
        <v>1952243.5023565167</v>
      </c>
      <c r="AB119" s="152">
        <f t="shared" si="165"/>
        <v>1952243.5023565167</v>
      </c>
      <c r="AC119" s="152">
        <f t="shared" si="165"/>
        <v>1952243.5023565167</v>
      </c>
      <c r="AD119" s="152">
        <f t="shared" si="165"/>
        <v>2245080.0277099945</v>
      </c>
      <c r="AE119" s="214"/>
    </row>
    <row r="120" spans="1:31">
      <c r="D120" s="153"/>
      <c r="E120" s="154"/>
      <c r="AE120" s="214"/>
    </row>
    <row r="121" spans="1:31">
      <c r="B121" s="207" t="s">
        <v>183</v>
      </c>
      <c r="C121" s="207"/>
      <c r="D121" s="208">
        <f t="shared" ref="D121:E121" si="166">SUM(D117:D119)</f>
        <v>0</v>
      </c>
      <c r="E121" s="209">
        <f t="shared" si="166"/>
        <v>0</v>
      </c>
      <c r="F121" s="207">
        <f>SUM(F117:F119)</f>
        <v>4402604.7956250003</v>
      </c>
      <c r="G121" s="207">
        <f t="shared" ref="G121:W121" si="167">SUM(G117:G119)</f>
        <v>6227714.3760000011</v>
      </c>
      <c r="H121" s="207">
        <f t="shared" si="167"/>
        <v>6546925.3623750005</v>
      </c>
      <c r="I121" s="207">
        <f t="shared" si="167"/>
        <v>7528964.1667312495</v>
      </c>
      <c r="J121" s="207">
        <f t="shared" si="167"/>
        <v>7528964.1667312495</v>
      </c>
      <c r="K121" s="207">
        <f t="shared" si="167"/>
        <v>7528964.1667312495</v>
      </c>
      <c r="L121" s="207">
        <f t="shared" si="167"/>
        <v>8658308.7917409372</v>
      </c>
      <c r="M121" s="207">
        <f t="shared" si="167"/>
        <v>8658308.7917409372</v>
      </c>
      <c r="N121" s="207">
        <f t="shared" si="167"/>
        <v>8658308.7917409372</v>
      </c>
      <c r="O121" s="207">
        <f t="shared" si="167"/>
        <v>9957055.1105020735</v>
      </c>
      <c r="P121" s="207">
        <f t="shared" si="167"/>
        <v>9957055.1105020735</v>
      </c>
      <c r="Q121" s="207">
        <f t="shared" si="167"/>
        <v>9957055.1105020735</v>
      </c>
      <c r="R121" s="207">
        <f t="shared" si="167"/>
        <v>11450613.377077386</v>
      </c>
      <c r="S121" s="207">
        <f t="shared" si="167"/>
        <v>11450613.377077386</v>
      </c>
      <c r="T121" s="207">
        <f t="shared" si="167"/>
        <v>11450613.377077386</v>
      </c>
      <c r="U121" s="207">
        <f t="shared" si="167"/>
        <v>13168205.383638993</v>
      </c>
      <c r="V121" s="207">
        <f t="shared" si="167"/>
        <v>13168205.383638993</v>
      </c>
      <c r="W121" s="207">
        <f t="shared" si="167"/>
        <v>13168205.383638993</v>
      </c>
      <c r="X121" s="207">
        <f t="shared" ref="X121:AA121" si="168">SUM(X117:X119)</f>
        <v>15143436.191184841</v>
      </c>
      <c r="Y121" s="207">
        <f t="shared" si="168"/>
        <v>15143436.191184841</v>
      </c>
      <c r="Z121" s="207">
        <f t="shared" si="168"/>
        <v>15143436.191184841</v>
      </c>
      <c r="AA121" s="207">
        <f t="shared" si="168"/>
        <v>17414951.619862568</v>
      </c>
      <c r="AB121" s="207">
        <f t="shared" ref="AB121:AD121" si="169">SUM(AB117:AB119)</f>
        <v>17414951.619862568</v>
      </c>
      <c r="AC121" s="207">
        <f t="shared" si="169"/>
        <v>17414951.619862568</v>
      </c>
      <c r="AD121" s="207">
        <f t="shared" si="169"/>
        <v>20027194.362841953</v>
      </c>
      <c r="AE121" s="214"/>
    </row>
    <row r="122" spans="1:31">
      <c r="D122" s="153"/>
      <c r="E122" s="154"/>
      <c r="AE122" s="214"/>
    </row>
    <row r="123" spans="1:31" ht="14.4">
      <c r="A123" s="152" t="s">
        <v>96</v>
      </c>
      <c r="B123" s="147" t="s">
        <v>153</v>
      </c>
      <c r="C123" s="165"/>
      <c r="D123" s="166" t="s">
        <v>159</v>
      </c>
      <c r="E123" s="167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</row>
    <row r="124" spans="1:31">
      <c r="D124" s="153"/>
      <c r="E124" s="154"/>
      <c r="AE124" s="214"/>
    </row>
    <row r="125" spans="1:31">
      <c r="B125" s="152" t="s">
        <v>184</v>
      </c>
      <c r="D125" s="153">
        <f>D114</f>
        <v>0</v>
      </c>
      <c r="E125" s="154">
        <f t="shared" ref="E125:W125" si="170">E114</f>
        <v>0</v>
      </c>
      <c r="F125" s="152">
        <f t="shared" si="170"/>
        <v>31173059.182499997</v>
      </c>
      <c r="G125" s="152">
        <f t="shared" si="170"/>
        <v>42646617.504000001</v>
      </c>
      <c r="H125" s="152">
        <f t="shared" si="170"/>
        <v>46010021.449500002</v>
      </c>
      <c r="I125" s="152">
        <f t="shared" si="170"/>
        <v>52911524.666924998</v>
      </c>
      <c r="J125" s="152">
        <f t="shared" si="170"/>
        <v>52911524.666924998</v>
      </c>
      <c r="K125" s="152">
        <f t="shared" si="170"/>
        <v>52911524.666924998</v>
      </c>
      <c r="L125" s="152">
        <f t="shared" si="170"/>
        <v>60848253.366963744</v>
      </c>
      <c r="M125" s="152">
        <f t="shared" si="170"/>
        <v>60848253.366963744</v>
      </c>
      <c r="N125" s="152">
        <f t="shared" si="170"/>
        <v>60848253.366963744</v>
      </c>
      <c r="O125" s="152">
        <f t="shared" si="170"/>
        <v>69975491.372008294</v>
      </c>
      <c r="P125" s="152">
        <f t="shared" si="170"/>
        <v>69975491.372008294</v>
      </c>
      <c r="Q125" s="152">
        <f t="shared" si="170"/>
        <v>69975491.372008294</v>
      </c>
      <c r="R125" s="152">
        <f t="shared" si="170"/>
        <v>80471815.077809528</v>
      </c>
      <c r="S125" s="152">
        <f t="shared" si="170"/>
        <v>80471815.077809528</v>
      </c>
      <c r="T125" s="152">
        <f t="shared" si="170"/>
        <v>80471815.077809528</v>
      </c>
      <c r="U125" s="152">
        <f t="shared" si="170"/>
        <v>92542587.339480966</v>
      </c>
      <c r="V125" s="152">
        <f t="shared" si="170"/>
        <v>92542587.339480966</v>
      </c>
      <c r="W125" s="152">
        <f t="shared" si="170"/>
        <v>92542587.339480966</v>
      </c>
      <c r="X125" s="152">
        <f t="shared" ref="X125:AA125" si="171">X114</f>
        <v>106423975.44040309</v>
      </c>
      <c r="Y125" s="152">
        <f t="shared" si="171"/>
        <v>106423975.44040309</v>
      </c>
      <c r="Z125" s="152">
        <f t="shared" si="171"/>
        <v>106423975.44040309</v>
      </c>
      <c r="AA125" s="152">
        <f t="shared" si="171"/>
        <v>122387571.75646356</v>
      </c>
      <c r="AB125" s="152">
        <f t="shared" ref="AB125:AD125" si="172">AB114</f>
        <v>122387571.75646356</v>
      </c>
      <c r="AC125" s="152">
        <f t="shared" si="172"/>
        <v>122387571.75646356</v>
      </c>
      <c r="AD125" s="152">
        <f t="shared" si="172"/>
        <v>140745707.51993307</v>
      </c>
      <c r="AE125" s="214"/>
    </row>
    <row r="126" spans="1:31">
      <c r="B126" s="152" t="s">
        <v>185</v>
      </c>
      <c r="D126" s="153">
        <f>-D121</f>
        <v>0</v>
      </c>
      <c r="E126" s="154">
        <f t="shared" ref="E126:W126" si="173">-E121</f>
        <v>0</v>
      </c>
      <c r="F126" s="152">
        <f t="shared" si="173"/>
        <v>-4402604.7956250003</v>
      </c>
      <c r="G126" s="152">
        <f t="shared" si="173"/>
        <v>-6227714.3760000011</v>
      </c>
      <c r="H126" s="152">
        <f t="shared" si="173"/>
        <v>-6546925.3623750005</v>
      </c>
      <c r="I126" s="152">
        <f t="shared" si="173"/>
        <v>-7528964.1667312495</v>
      </c>
      <c r="J126" s="152">
        <f t="shared" si="173"/>
        <v>-7528964.1667312495</v>
      </c>
      <c r="K126" s="152">
        <f t="shared" si="173"/>
        <v>-7528964.1667312495</v>
      </c>
      <c r="L126" s="152">
        <f t="shared" si="173"/>
        <v>-8658308.7917409372</v>
      </c>
      <c r="M126" s="152">
        <f t="shared" si="173"/>
        <v>-8658308.7917409372</v>
      </c>
      <c r="N126" s="152">
        <f t="shared" si="173"/>
        <v>-8658308.7917409372</v>
      </c>
      <c r="O126" s="152">
        <f t="shared" si="173"/>
        <v>-9957055.1105020735</v>
      </c>
      <c r="P126" s="152">
        <f t="shared" si="173"/>
        <v>-9957055.1105020735</v>
      </c>
      <c r="Q126" s="152">
        <f t="shared" si="173"/>
        <v>-9957055.1105020735</v>
      </c>
      <c r="R126" s="152">
        <f t="shared" si="173"/>
        <v>-11450613.377077386</v>
      </c>
      <c r="S126" s="152">
        <f t="shared" si="173"/>
        <v>-11450613.377077386</v>
      </c>
      <c r="T126" s="152">
        <f t="shared" si="173"/>
        <v>-11450613.377077386</v>
      </c>
      <c r="U126" s="152">
        <f t="shared" si="173"/>
        <v>-13168205.383638993</v>
      </c>
      <c r="V126" s="152">
        <f t="shared" si="173"/>
        <v>-13168205.383638993</v>
      </c>
      <c r="W126" s="152">
        <f t="shared" si="173"/>
        <v>-13168205.383638993</v>
      </c>
      <c r="X126" s="152">
        <f t="shared" ref="X126:AA126" si="174">-X121</f>
        <v>-15143436.191184841</v>
      </c>
      <c r="Y126" s="152">
        <f t="shared" si="174"/>
        <v>-15143436.191184841</v>
      </c>
      <c r="Z126" s="152">
        <f t="shared" si="174"/>
        <v>-15143436.191184841</v>
      </c>
      <c r="AA126" s="152">
        <f t="shared" si="174"/>
        <v>-17414951.619862568</v>
      </c>
      <c r="AB126" s="152">
        <f t="shared" ref="AB126:AD126" si="175">-AB121</f>
        <v>-17414951.619862568</v>
      </c>
      <c r="AC126" s="152">
        <f t="shared" si="175"/>
        <v>-17414951.619862568</v>
      </c>
      <c r="AD126" s="152">
        <f t="shared" si="175"/>
        <v>-20027194.362841953</v>
      </c>
      <c r="AE126" s="214"/>
    </row>
    <row r="127" spans="1:31">
      <c r="B127" s="152" t="s">
        <v>186</v>
      </c>
      <c r="D127" s="153">
        <f>-D141</f>
        <v>0</v>
      </c>
      <c r="E127" s="154">
        <f t="shared" ref="E127:W127" si="176">-E141</f>
        <v>-6240000</v>
      </c>
      <c r="F127" s="152">
        <f t="shared" si="176"/>
        <v>-6240000</v>
      </c>
      <c r="G127" s="152">
        <f t="shared" si="176"/>
        <v>-6240000</v>
      </c>
      <c r="H127" s="152">
        <f t="shared" si="176"/>
        <v>-5460000</v>
      </c>
      <c r="I127" s="152">
        <f t="shared" si="176"/>
        <v>-4680000</v>
      </c>
      <c r="J127" s="152">
        <f t="shared" si="176"/>
        <v>-3900000</v>
      </c>
      <c r="K127" s="152">
        <f t="shared" si="176"/>
        <v>-3120000</v>
      </c>
      <c r="L127" s="152">
        <f t="shared" si="176"/>
        <v>-2340000</v>
      </c>
      <c r="M127" s="152">
        <f t="shared" si="176"/>
        <v>-1560000</v>
      </c>
      <c r="N127" s="152">
        <f t="shared" si="176"/>
        <v>-780000</v>
      </c>
      <c r="O127" s="152">
        <f t="shared" si="176"/>
        <v>0</v>
      </c>
      <c r="P127" s="152">
        <f t="shared" si="176"/>
        <v>0</v>
      </c>
      <c r="Q127" s="152">
        <f t="shared" si="176"/>
        <v>0</v>
      </c>
      <c r="R127" s="152">
        <f t="shared" si="176"/>
        <v>0</v>
      </c>
      <c r="S127" s="152">
        <f t="shared" si="176"/>
        <v>0</v>
      </c>
      <c r="T127" s="152">
        <f t="shared" si="176"/>
        <v>0</v>
      </c>
      <c r="U127" s="152">
        <f t="shared" si="176"/>
        <v>0</v>
      </c>
      <c r="V127" s="152">
        <f t="shared" si="176"/>
        <v>0</v>
      </c>
      <c r="W127" s="152">
        <f t="shared" si="176"/>
        <v>0</v>
      </c>
      <c r="X127" s="152">
        <f t="shared" ref="X127:AA127" si="177">-X141</f>
        <v>0</v>
      </c>
      <c r="Y127" s="152">
        <f t="shared" si="177"/>
        <v>0</v>
      </c>
      <c r="Z127" s="152">
        <f t="shared" si="177"/>
        <v>0</v>
      </c>
      <c r="AA127" s="152">
        <f t="shared" si="177"/>
        <v>0</v>
      </c>
      <c r="AB127" s="152">
        <f t="shared" ref="AB127:AD127" si="178">-AB141</f>
        <v>0</v>
      </c>
      <c r="AC127" s="152">
        <f t="shared" si="178"/>
        <v>0</v>
      </c>
      <c r="AD127" s="152">
        <f t="shared" si="178"/>
        <v>0</v>
      </c>
      <c r="AE127" s="214"/>
    </row>
    <row r="128" spans="1:31">
      <c r="B128" s="162" t="s">
        <v>187</v>
      </c>
      <c r="C128" s="162"/>
      <c r="D128" s="210">
        <f>SUM(D125:D127)</f>
        <v>0</v>
      </c>
      <c r="E128" s="211">
        <f t="shared" ref="E128:W128" si="179">SUM(E125:E127)</f>
        <v>-6240000</v>
      </c>
      <c r="F128" s="162">
        <f t="shared" si="179"/>
        <v>20530454.386874996</v>
      </c>
      <c r="G128" s="162">
        <f t="shared" si="179"/>
        <v>30178903.127999999</v>
      </c>
      <c r="H128" s="162">
        <f t="shared" si="179"/>
        <v>34003096.087125003</v>
      </c>
      <c r="I128" s="162">
        <f t="shared" si="179"/>
        <v>40702560.500193745</v>
      </c>
      <c r="J128" s="162">
        <f t="shared" si="179"/>
        <v>41482560.500193745</v>
      </c>
      <c r="K128" s="162">
        <f t="shared" si="179"/>
        <v>42262560.500193745</v>
      </c>
      <c r="L128" s="162">
        <f t="shared" si="179"/>
        <v>49849944.575222805</v>
      </c>
      <c r="M128" s="162">
        <f t="shared" si="179"/>
        <v>50629944.575222805</v>
      </c>
      <c r="N128" s="162">
        <f t="shared" si="179"/>
        <v>51409944.575222805</v>
      </c>
      <c r="O128" s="162">
        <f t="shared" si="179"/>
        <v>60018436.261506222</v>
      </c>
      <c r="P128" s="162">
        <f t="shared" si="179"/>
        <v>60018436.261506222</v>
      </c>
      <c r="Q128" s="162">
        <f t="shared" si="179"/>
        <v>60018436.261506222</v>
      </c>
      <c r="R128" s="162">
        <f t="shared" si="179"/>
        <v>69021201.700732142</v>
      </c>
      <c r="S128" s="162">
        <f t="shared" si="179"/>
        <v>69021201.700732142</v>
      </c>
      <c r="T128" s="162">
        <f t="shared" si="179"/>
        <v>69021201.700732142</v>
      </c>
      <c r="U128" s="162">
        <f t="shared" si="179"/>
        <v>79374381.955841973</v>
      </c>
      <c r="V128" s="162">
        <f t="shared" si="179"/>
        <v>79374381.955841973</v>
      </c>
      <c r="W128" s="162">
        <f t="shared" si="179"/>
        <v>79374381.955841973</v>
      </c>
      <c r="X128" s="162">
        <f t="shared" ref="X128" si="180">SUM(X125:X127)</f>
        <v>91280539.249218255</v>
      </c>
      <c r="Y128" s="162">
        <f t="shared" ref="Y128" si="181">SUM(Y125:Y127)</f>
        <v>91280539.249218255</v>
      </c>
      <c r="Z128" s="162">
        <f t="shared" ref="Z128" si="182">SUM(Z125:Z127)</f>
        <v>91280539.249218255</v>
      </c>
      <c r="AA128" s="162">
        <f t="shared" ref="AA128:AB128" si="183">SUM(AA125:AA127)</f>
        <v>104972620.13660099</v>
      </c>
      <c r="AB128" s="162">
        <f t="shared" si="183"/>
        <v>104972620.13660099</v>
      </c>
      <c r="AC128" s="162">
        <f t="shared" ref="AC128" si="184">SUM(AC125:AC127)</f>
        <v>104972620.13660099</v>
      </c>
      <c r="AD128" s="162">
        <f t="shared" ref="AD128" si="185">SUM(AD125:AD127)</f>
        <v>120718513.15709113</v>
      </c>
      <c r="AE128" s="214"/>
    </row>
    <row r="129" spans="1:31">
      <c r="D129" s="153"/>
      <c r="E129" s="154"/>
      <c r="AE129" s="214"/>
    </row>
    <row r="130" spans="1:31">
      <c r="B130" s="156" t="s">
        <v>188</v>
      </c>
      <c r="C130" s="156"/>
      <c r="D130" s="157">
        <f>IF(D128&gt;0,D128*Assumptions!$M$9,0)</f>
        <v>0</v>
      </c>
      <c r="E130" s="203">
        <f>IF(E128&gt;0,E128*Assumptions!$M$9,0)</f>
        <v>0</v>
      </c>
      <c r="F130" s="156">
        <f>IF(F128&gt;0,F128*Assumptions!$M$9,0)</f>
        <v>1026522.7193437498</v>
      </c>
      <c r="G130" s="156">
        <f>IF(G128&gt;0,G128*Assumptions!$M$9,0)</f>
        <v>1508945.1564</v>
      </c>
      <c r="H130" s="156">
        <f>IF(H128&gt;0,H128*Assumptions!$M$9,0)</f>
        <v>1700154.8043562502</v>
      </c>
      <c r="I130" s="156">
        <f>IF(I128&gt;0,I128*Assumptions!$M$9,0)</f>
        <v>2035128.0250096873</v>
      </c>
      <c r="J130" s="156">
        <f>IF(J128&gt;0,J128*Assumptions!$M$9,0)</f>
        <v>2074128.0250096873</v>
      </c>
      <c r="K130" s="156">
        <f>IF(K128&gt;0,K128*Assumptions!$M$9,0)</f>
        <v>2113128.0250096875</v>
      </c>
      <c r="L130" s="156">
        <f>IF(L128&gt;0,L128*Assumptions!$M$9,0)</f>
        <v>2492497.2287611403</v>
      </c>
      <c r="M130" s="156">
        <f>IF(M128&gt;0,M128*Assumptions!$M$9,0)</f>
        <v>2531497.2287611403</v>
      </c>
      <c r="N130" s="156">
        <f>IF(N128&gt;0,N128*Assumptions!$M$9,0)</f>
        <v>2570497.2287611403</v>
      </c>
      <c r="O130" s="156">
        <f>IF(O128&gt;0,O128*Assumptions!$M$9,0)</f>
        <v>3000921.8130753115</v>
      </c>
      <c r="P130" s="156">
        <f>IF(P128&gt;0,P128*Assumptions!$M$9,0)</f>
        <v>3000921.8130753115</v>
      </c>
      <c r="Q130" s="156">
        <f>IF(Q128&gt;0,Q128*Assumptions!$M$9,0)</f>
        <v>3000921.8130753115</v>
      </c>
      <c r="R130" s="156">
        <f>IF(R128&gt;0,R128*Assumptions!$M$9,0)</f>
        <v>3451060.0850366075</v>
      </c>
      <c r="S130" s="156">
        <f>IF(S128&gt;0,S128*Assumptions!$M$9,0)</f>
        <v>3451060.0850366075</v>
      </c>
      <c r="T130" s="156">
        <f>IF(T128&gt;0,T128*Assumptions!$M$9,0)</f>
        <v>3451060.0850366075</v>
      </c>
      <c r="U130" s="156">
        <f>IF(U128&gt;0,U128*Assumptions!$M$9,0)</f>
        <v>3968719.0977920988</v>
      </c>
      <c r="V130" s="156">
        <f>IF(V128&gt;0,V128*Assumptions!$M$9,0)</f>
        <v>3968719.0977920988</v>
      </c>
      <c r="W130" s="156">
        <f>IF(W128&gt;0,W128*Assumptions!$M$9,0)</f>
        <v>3968719.0977920988</v>
      </c>
      <c r="X130" s="156">
        <f>IF(X128&gt;0,X128*Assumptions!$M$9,0)</f>
        <v>4564026.9624609128</v>
      </c>
      <c r="Y130" s="156">
        <f>IF(Y128&gt;0,Y128*Assumptions!$M$9,0)</f>
        <v>4564026.9624609128</v>
      </c>
      <c r="Z130" s="156">
        <f>IF(Z128&gt;0,Z128*Assumptions!$M$9,0)</f>
        <v>4564026.9624609128</v>
      </c>
      <c r="AA130" s="156">
        <f>IF(AA128&gt;0,AA128*Assumptions!$M$9,0)</f>
        <v>5248631.0068300497</v>
      </c>
      <c r="AB130" s="156">
        <f>IF(AB128&gt;0,AB128*Assumptions!$M$9,0)</f>
        <v>5248631.0068300497</v>
      </c>
      <c r="AC130" s="156">
        <f>IF(AC128&gt;0,AC128*Assumptions!$M$9,0)</f>
        <v>5248631.0068300497</v>
      </c>
      <c r="AD130" s="156">
        <f>IF(AD128&gt;0,AD128*Assumptions!$M$9,0)</f>
        <v>6035925.657854557</v>
      </c>
      <c r="AE130" s="214"/>
    </row>
    <row r="131" spans="1:31">
      <c r="D131" s="153"/>
      <c r="E131" s="154"/>
      <c r="AE131" s="214"/>
    </row>
    <row r="132" spans="1:31" ht="14.4">
      <c r="A132" s="152" t="s">
        <v>96</v>
      </c>
      <c r="B132" s="147" t="s">
        <v>189</v>
      </c>
      <c r="C132" s="165"/>
      <c r="D132" s="166" t="s">
        <v>159</v>
      </c>
      <c r="E132" s="167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</row>
    <row r="133" spans="1:31">
      <c r="D133" s="153"/>
      <c r="E133" s="154"/>
      <c r="AE133" s="214"/>
    </row>
    <row r="134" spans="1:31">
      <c r="C134" s="190">
        <v>0</v>
      </c>
      <c r="D134" s="179">
        <f>IF(D47&gt;0,1,IF(SUM($C134:C134)&gt;0,C134+1,C134))</f>
        <v>0</v>
      </c>
      <c r="E134" s="180">
        <f>IF(E47&gt;0,1,IF(SUM($C134:D134)&gt;0,D134+1,D134))</f>
        <v>1</v>
      </c>
      <c r="F134" s="181">
        <f>IF(F47&gt;0,1,IF(SUM($C134:E134)&gt;0,E134+1,E134))</f>
        <v>2</v>
      </c>
      <c r="G134" s="181">
        <f>IF(G47&gt;0,1,IF(SUM($C134:F134)&gt;0,F134+1,F134))</f>
        <v>3</v>
      </c>
      <c r="H134" s="181">
        <f>IF(H47&gt;0,1,IF(SUM($C134:G134)&gt;0,G134+1,G134))</f>
        <v>4</v>
      </c>
      <c r="I134" s="181">
        <f>IF(I47&gt;0,1,IF(SUM($C134:H134)&gt;0,H134+1,H134))</f>
        <v>5</v>
      </c>
      <c r="J134" s="181">
        <f>IF(J47&gt;0,1,IF(SUM($C134:I134)&gt;0,I134+1,I134))</f>
        <v>6</v>
      </c>
      <c r="K134" s="181">
        <f>IF(K47&gt;0,1,IF(SUM($C134:J134)&gt;0,J134+1,J134))</f>
        <v>7</v>
      </c>
      <c r="L134" s="181">
        <f>IF(L47&gt;0,1,IF(SUM($C134:K134)&gt;0,K134+1,K134))</f>
        <v>8</v>
      </c>
      <c r="M134" s="181">
        <f>IF(M47&gt;0,1,IF(SUM($C134:L134)&gt;0,L134+1,L134))</f>
        <v>9</v>
      </c>
      <c r="N134" s="181">
        <f>IF(N47&gt;0,1,IF(SUM($C134:M134)&gt;0,M134+1,M134))</f>
        <v>10</v>
      </c>
      <c r="O134" s="181">
        <f>IF(O47&gt;0,1,IF(SUM($C134:N134)&gt;0,N134+1,N134))</f>
        <v>11</v>
      </c>
      <c r="P134" s="181">
        <f>IF(P47&gt;0,1,IF(SUM($C134:O134)&gt;0,O134+1,O134))</f>
        <v>12</v>
      </c>
      <c r="Q134" s="181">
        <f>IF(Q47&gt;0,1,IF(SUM($C134:P134)&gt;0,P134+1,P134))</f>
        <v>13</v>
      </c>
      <c r="R134" s="181">
        <f>IF(R47&gt;0,1,IF(SUM($C134:Q134)&gt;0,Q134+1,Q134))</f>
        <v>14</v>
      </c>
      <c r="S134" s="181">
        <f>IF(S47&gt;0,1,IF(SUM($C134:R134)&gt;0,R134+1,R134))</f>
        <v>15</v>
      </c>
      <c r="T134" s="181">
        <f>IF(T47&gt;0,1,IF(SUM($C134:S134)&gt;0,S134+1,S134))</f>
        <v>16</v>
      </c>
      <c r="U134" s="181">
        <f>IF(U47&gt;0,1,IF(SUM($C134:T134)&gt;0,T134+1,T134))</f>
        <v>17</v>
      </c>
      <c r="V134" s="181">
        <f>IF(V47&gt;0,1,IF(SUM($C134:U134)&gt;0,U134+1,U134))</f>
        <v>18</v>
      </c>
      <c r="W134" s="181">
        <f>IF(W47&gt;0,1,IF(SUM($C134:V134)&gt;0,V134+1,V134))</f>
        <v>19</v>
      </c>
      <c r="X134" s="181">
        <f>IF(X47&gt;0,1,IF(SUM($C134:W134)&gt;0,W134+1,W134))</f>
        <v>20</v>
      </c>
      <c r="Y134" s="181">
        <f>IF(Y47&gt;0,1,IF(SUM($C134:X134)&gt;0,X134+1,X134))</f>
        <v>21</v>
      </c>
      <c r="Z134" s="181">
        <f>IF(Z47&gt;0,1,IF(SUM($C134:Y134)&gt;0,Y134+1,Y134))</f>
        <v>22</v>
      </c>
      <c r="AA134" s="181">
        <f>IF(AA47&gt;0,1,IF(SUM($C134:Z134)&gt;0,Z134+1,Z134))</f>
        <v>23</v>
      </c>
      <c r="AB134" s="181">
        <f>IF(AB47&gt;0,1,IF(SUM($C134:AA134)&gt;0,AA134+1,AA134))</f>
        <v>24</v>
      </c>
      <c r="AC134" s="181">
        <f>IF(AC47&gt;0,1,IF(SUM($C134:AB134)&gt;0,AB134+1,AB134))</f>
        <v>25</v>
      </c>
      <c r="AD134" s="181">
        <f>IF(AD47&gt;0,1,IF(SUM($C134:AC134)&gt;0,AC134+1,AC134))</f>
        <v>26</v>
      </c>
      <c r="AE134" s="214"/>
    </row>
    <row r="135" spans="1:31">
      <c r="D135" s="153"/>
      <c r="E135" s="154"/>
      <c r="AE135" s="214"/>
    </row>
    <row r="136" spans="1:31">
      <c r="B136" s="152" t="s">
        <v>190</v>
      </c>
      <c r="C136" s="182">
        <v>0</v>
      </c>
      <c r="D136" s="153">
        <f t="shared" ref="D136:E136" si="186">C139</f>
        <v>0</v>
      </c>
      <c r="E136" s="154">
        <f t="shared" si="186"/>
        <v>0</v>
      </c>
      <c r="F136" s="152">
        <f>E139</f>
        <v>78000000</v>
      </c>
      <c r="G136" s="152">
        <f t="shared" ref="G136:W136" si="187">F139</f>
        <v>78000000</v>
      </c>
      <c r="H136" s="152">
        <f t="shared" si="187"/>
        <v>68250000</v>
      </c>
      <c r="I136" s="152">
        <f t="shared" si="187"/>
        <v>58500000</v>
      </c>
      <c r="J136" s="152">
        <f t="shared" si="187"/>
        <v>48750000</v>
      </c>
      <c r="K136" s="152">
        <f t="shared" si="187"/>
        <v>39000000</v>
      </c>
      <c r="L136" s="152">
        <f t="shared" si="187"/>
        <v>29250000</v>
      </c>
      <c r="M136" s="152">
        <f t="shared" si="187"/>
        <v>19500000</v>
      </c>
      <c r="N136" s="152">
        <f t="shared" si="187"/>
        <v>9750000</v>
      </c>
      <c r="O136" s="152">
        <f t="shared" si="187"/>
        <v>0</v>
      </c>
      <c r="P136" s="152">
        <f t="shared" si="187"/>
        <v>0</v>
      </c>
      <c r="Q136" s="152">
        <f t="shared" si="187"/>
        <v>0</v>
      </c>
      <c r="R136" s="152">
        <f t="shared" si="187"/>
        <v>0</v>
      </c>
      <c r="S136" s="152">
        <f t="shared" si="187"/>
        <v>0</v>
      </c>
      <c r="T136" s="152">
        <f t="shared" si="187"/>
        <v>0</v>
      </c>
      <c r="U136" s="152">
        <f t="shared" si="187"/>
        <v>0</v>
      </c>
      <c r="V136" s="152">
        <f t="shared" si="187"/>
        <v>0</v>
      </c>
      <c r="W136" s="152">
        <f t="shared" si="187"/>
        <v>0</v>
      </c>
      <c r="X136" s="152">
        <f t="shared" ref="X136:AA136" si="188">W139</f>
        <v>0</v>
      </c>
      <c r="Y136" s="152">
        <f t="shared" si="188"/>
        <v>0</v>
      </c>
      <c r="Z136" s="152">
        <f t="shared" si="188"/>
        <v>0</v>
      </c>
      <c r="AA136" s="152">
        <f t="shared" si="188"/>
        <v>0</v>
      </c>
      <c r="AB136" s="152">
        <f t="shared" ref="AB136:AD136" si="189">AA139</f>
        <v>0</v>
      </c>
      <c r="AC136" s="152">
        <f t="shared" si="189"/>
        <v>0</v>
      </c>
      <c r="AD136" s="152">
        <f t="shared" si="189"/>
        <v>0</v>
      </c>
      <c r="AE136" s="214"/>
    </row>
    <row r="137" spans="1:31">
      <c r="B137" s="152" t="s">
        <v>191</v>
      </c>
      <c r="C137" s="152">
        <f>C47</f>
        <v>0</v>
      </c>
      <c r="D137" s="153">
        <f t="shared" ref="D137:W137" si="190">D47</f>
        <v>0</v>
      </c>
      <c r="E137" s="154">
        <f t="shared" si="190"/>
        <v>78000000</v>
      </c>
      <c r="F137" s="152">
        <f t="shared" si="190"/>
        <v>0</v>
      </c>
      <c r="G137" s="152">
        <f t="shared" si="190"/>
        <v>0</v>
      </c>
      <c r="H137" s="152">
        <f t="shared" si="190"/>
        <v>0</v>
      </c>
      <c r="I137" s="152">
        <f t="shared" si="190"/>
        <v>0</v>
      </c>
      <c r="J137" s="152">
        <f t="shared" si="190"/>
        <v>0</v>
      </c>
      <c r="K137" s="152">
        <f t="shared" si="190"/>
        <v>0</v>
      </c>
      <c r="L137" s="152">
        <f t="shared" si="190"/>
        <v>0</v>
      </c>
      <c r="M137" s="152">
        <f t="shared" si="190"/>
        <v>0</v>
      </c>
      <c r="N137" s="152">
        <f t="shared" si="190"/>
        <v>0</v>
      </c>
      <c r="O137" s="152">
        <f t="shared" si="190"/>
        <v>0</v>
      </c>
      <c r="P137" s="152">
        <f t="shared" si="190"/>
        <v>0</v>
      </c>
      <c r="Q137" s="152">
        <f t="shared" si="190"/>
        <v>0</v>
      </c>
      <c r="R137" s="152">
        <f t="shared" si="190"/>
        <v>0</v>
      </c>
      <c r="S137" s="152">
        <f t="shared" si="190"/>
        <v>0</v>
      </c>
      <c r="T137" s="152">
        <f t="shared" si="190"/>
        <v>0</v>
      </c>
      <c r="U137" s="152">
        <f t="shared" si="190"/>
        <v>0</v>
      </c>
      <c r="V137" s="152">
        <f t="shared" si="190"/>
        <v>0</v>
      </c>
      <c r="W137" s="152">
        <f t="shared" si="190"/>
        <v>0</v>
      </c>
      <c r="X137" s="152">
        <f t="shared" ref="X137:AA137" si="191">X47</f>
        <v>0</v>
      </c>
      <c r="Y137" s="152">
        <f t="shared" si="191"/>
        <v>0</v>
      </c>
      <c r="Z137" s="152">
        <f t="shared" si="191"/>
        <v>0</v>
      </c>
      <c r="AA137" s="152">
        <f t="shared" si="191"/>
        <v>0</v>
      </c>
      <c r="AB137" s="152">
        <f t="shared" ref="AB137:AD137" si="192">AB47</f>
        <v>0</v>
      </c>
      <c r="AC137" s="152">
        <f t="shared" si="192"/>
        <v>0</v>
      </c>
      <c r="AD137" s="152">
        <f t="shared" si="192"/>
        <v>0</v>
      </c>
      <c r="AE137" s="214"/>
    </row>
    <row r="138" spans="1:31">
      <c r="B138" s="152" t="s">
        <v>192</v>
      </c>
      <c r="D138" s="153">
        <f>-IF(AND(D134&gt;Assumptions!$M$70,D134&lt;(Assumptions!$M$69+1)),Assumptions!$F$63/(Assumptions!$M$69-Assumptions!$M$70),0)</f>
        <v>0</v>
      </c>
      <c r="E138" s="154">
        <f>-IF(AND(E134&gt;Assumptions!$M$70,E134&lt;(Assumptions!$M$69+1)),Assumptions!$F$63/(Assumptions!$M$69-Assumptions!$M$70),0)</f>
        <v>0</v>
      </c>
      <c r="F138" s="152">
        <f>-IF(AND(F134&gt;Assumptions!$M$70,F134&lt;(Assumptions!$M$69+1)),Assumptions!$F$63/(Assumptions!$M$69-Assumptions!$M$70),0)</f>
        <v>0</v>
      </c>
      <c r="G138" s="152">
        <f>-IF(AND(G134&gt;Assumptions!$M$70,G134&lt;(Assumptions!$M$69+1)),Assumptions!$F$63/(Assumptions!$M$69-Assumptions!$M$70),0)</f>
        <v>-9750000</v>
      </c>
      <c r="H138" s="152">
        <f>-IF(AND(H134&gt;Assumptions!$M$70,H134&lt;(Assumptions!$M$69+1)),Assumptions!$F$63/(Assumptions!$M$69-Assumptions!$M$70),0)</f>
        <v>-9750000</v>
      </c>
      <c r="I138" s="152">
        <f>-IF(AND(I134&gt;Assumptions!$M$70,I134&lt;(Assumptions!$M$69+1)),Assumptions!$F$63/(Assumptions!$M$69-Assumptions!$M$70),0)</f>
        <v>-9750000</v>
      </c>
      <c r="J138" s="152">
        <f>-IF(AND(J134&gt;Assumptions!$M$70,J134&lt;(Assumptions!$M$69+1)),Assumptions!$F$63/(Assumptions!$M$69-Assumptions!$M$70),0)</f>
        <v>-9750000</v>
      </c>
      <c r="K138" s="152">
        <f>-IF(AND(K134&gt;Assumptions!$M$70,K134&lt;(Assumptions!$M$69+1)),Assumptions!$F$63/(Assumptions!$M$69-Assumptions!$M$70),0)</f>
        <v>-9750000</v>
      </c>
      <c r="L138" s="152">
        <f>-IF(AND(L134&gt;Assumptions!$M$70,L134&lt;(Assumptions!$M$69+1)),Assumptions!$F$63/(Assumptions!$M$69-Assumptions!$M$70),0)</f>
        <v>-9750000</v>
      </c>
      <c r="M138" s="152">
        <f>-IF(AND(M134&gt;Assumptions!$M$70,M134&lt;(Assumptions!$M$69+1)),Assumptions!$F$63/(Assumptions!$M$69-Assumptions!$M$70),0)</f>
        <v>-9750000</v>
      </c>
      <c r="N138" s="152">
        <f>-IF(AND(N134&gt;Assumptions!$M$70,N134&lt;(Assumptions!$M$69+1)),Assumptions!$F$63/(Assumptions!$M$69-Assumptions!$M$70),0)</f>
        <v>-9750000</v>
      </c>
      <c r="O138" s="152">
        <f>-IF(AND(O134&gt;Assumptions!$M$70,O134&lt;(Assumptions!$M$69+1)),Assumptions!$F$63/(Assumptions!$M$69-Assumptions!$M$70),0)</f>
        <v>0</v>
      </c>
      <c r="P138" s="152">
        <f>-IF(AND(P134&gt;Assumptions!$M$70,P134&lt;(Assumptions!$M$69+1)),Assumptions!$F$63/(Assumptions!$M$69-Assumptions!$M$70),0)</f>
        <v>0</v>
      </c>
      <c r="Q138" s="152">
        <f>-IF(AND(Q134&gt;Assumptions!$M$70,Q134&lt;(Assumptions!$M$69+1)),Assumptions!$F$63/(Assumptions!$M$69-Assumptions!$M$70),0)</f>
        <v>0</v>
      </c>
      <c r="R138" s="152">
        <f>-IF(AND(R134&gt;Assumptions!$M$70,R134&lt;(Assumptions!$M$69+1)),Assumptions!$F$63/(Assumptions!$M$69-Assumptions!$M$70),0)</f>
        <v>0</v>
      </c>
      <c r="S138" s="152">
        <f>-IF(AND(S134&gt;Assumptions!$M$70,S134&lt;(Assumptions!$M$69+1)),Assumptions!$F$63/(Assumptions!$M$69-Assumptions!$M$70),0)</f>
        <v>0</v>
      </c>
      <c r="T138" s="152">
        <f>-IF(AND(T134&gt;Assumptions!$M$70,T134&lt;(Assumptions!$M$69+1)),Assumptions!$F$63/(Assumptions!$M$69-Assumptions!$M$70),0)</f>
        <v>0</v>
      </c>
      <c r="U138" s="152">
        <f>-IF(AND(U134&gt;Assumptions!$M$70,U134&lt;(Assumptions!$M$69+1)),Assumptions!$F$63/(Assumptions!$M$69-Assumptions!$M$70),0)</f>
        <v>0</v>
      </c>
      <c r="V138" s="152">
        <f>-IF(AND(V134&gt;Assumptions!$M$70,V134&lt;(Assumptions!$M$69+1)),Assumptions!$F$63/(Assumptions!$M$69-Assumptions!$M$70),0)</f>
        <v>0</v>
      </c>
      <c r="W138" s="152">
        <f>-IF(AND(W134&gt;Assumptions!$M$70,W134&lt;(Assumptions!$M$69+1)),Assumptions!$F$63/(Assumptions!$M$69-Assumptions!$M$70),0)</f>
        <v>0</v>
      </c>
      <c r="X138" s="152">
        <f>-IF(AND(X134&gt;Assumptions!$M$70,X134&lt;(Assumptions!$M$69+1)),Assumptions!$F$63/(Assumptions!$M$69-Assumptions!$M$70),0)</f>
        <v>0</v>
      </c>
      <c r="Y138" s="152">
        <f>-IF(AND(Y134&gt;Assumptions!$M$70,Y134&lt;(Assumptions!$M$69+1)),Assumptions!$F$63/(Assumptions!$M$69-Assumptions!$M$70),0)</f>
        <v>0</v>
      </c>
      <c r="Z138" s="152">
        <f>-IF(AND(Z134&gt;Assumptions!$M$70,Z134&lt;(Assumptions!$M$69+1)),Assumptions!$F$63/(Assumptions!$M$69-Assumptions!$M$70),0)</f>
        <v>0</v>
      </c>
      <c r="AA138" s="152">
        <f>-IF(AND(AA134&gt;Assumptions!$M$70,AA134&lt;(Assumptions!$M$69+1)),Assumptions!$F$63/(Assumptions!$M$69-Assumptions!$M$70),0)</f>
        <v>0</v>
      </c>
      <c r="AB138" s="152">
        <f>-IF(AND(AB134&gt;Assumptions!$M$70,AB134&lt;(Assumptions!$M$69+1)),Assumptions!$F$63/(Assumptions!$M$69-Assumptions!$M$70),0)</f>
        <v>0</v>
      </c>
      <c r="AC138" s="152">
        <f>-IF(AND(AC134&gt;Assumptions!$M$70,AC134&lt;(Assumptions!$M$69+1)),Assumptions!$F$63/(Assumptions!$M$69-Assumptions!$M$70),0)</f>
        <v>0</v>
      </c>
      <c r="AD138" s="152">
        <f>-IF(AND(AD134&gt;Assumptions!$M$70,AD134&lt;(Assumptions!$M$69+1)),Assumptions!$F$63/(Assumptions!$M$69-Assumptions!$M$70),0)</f>
        <v>0</v>
      </c>
      <c r="AE138" s="214"/>
    </row>
    <row r="139" spans="1:31" s="156" customFormat="1">
      <c r="B139" s="161" t="s">
        <v>193</v>
      </c>
      <c r="C139" s="161">
        <f>SUM(C136:C138)</f>
        <v>0</v>
      </c>
      <c r="D139" s="163">
        <f t="shared" ref="D139:W139" si="193">SUM(D136:D138)</f>
        <v>0</v>
      </c>
      <c r="E139" s="164">
        <f t="shared" si="193"/>
        <v>78000000</v>
      </c>
      <c r="F139" s="161">
        <f t="shared" si="193"/>
        <v>78000000</v>
      </c>
      <c r="G139" s="161">
        <f t="shared" si="193"/>
        <v>68250000</v>
      </c>
      <c r="H139" s="161">
        <f t="shared" si="193"/>
        <v>58500000</v>
      </c>
      <c r="I139" s="161">
        <f t="shared" si="193"/>
        <v>48750000</v>
      </c>
      <c r="J139" s="161">
        <f t="shared" si="193"/>
        <v>39000000</v>
      </c>
      <c r="K139" s="161">
        <f t="shared" si="193"/>
        <v>29250000</v>
      </c>
      <c r="L139" s="161">
        <f t="shared" si="193"/>
        <v>19500000</v>
      </c>
      <c r="M139" s="161">
        <f t="shared" si="193"/>
        <v>9750000</v>
      </c>
      <c r="N139" s="161">
        <f t="shared" si="193"/>
        <v>0</v>
      </c>
      <c r="O139" s="161">
        <f t="shared" si="193"/>
        <v>0</v>
      </c>
      <c r="P139" s="161">
        <f t="shared" si="193"/>
        <v>0</v>
      </c>
      <c r="Q139" s="161">
        <f t="shared" si="193"/>
        <v>0</v>
      </c>
      <c r="R139" s="161">
        <f t="shared" si="193"/>
        <v>0</v>
      </c>
      <c r="S139" s="161">
        <f t="shared" si="193"/>
        <v>0</v>
      </c>
      <c r="T139" s="161">
        <f t="shared" si="193"/>
        <v>0</v>
      </c>
      <c r="U139" s="161">
        <f t="shared" si="193"/>
        <v>0</v>
      </c>
      <c r="V139" s="161">
        <f t="shared" si="193"/>
        <v>0</v>
      </c>
      <c r="W139" s="161">
        <f t="shared" si="193"/>
        <v>0</v>
      </c>
      <c r="X139" s="161">
        <f t="shared" ref="X139" si="194">SUM(X136:X138)</f>
        <v>0</v>
      </c>
      <c r="Y139" s="161">
        <f t="shared" ref="Y139" si="195">SUM(Y136:Y138)</f>
        <v>0</v>
      </c>
      <c r="Z139" s="161">
        <f t="shared" ref="Z139" si="196">SUM(Z136:Z138)</f>
        <v>0</v>
      </c>
      <c r="AA139" s="161">
        <f t="shared" ref="AA139:AB139" si="197">SUM(AA136:AA138)</f>
        <v>0</v>
      </c>
      <c r="AB139" s="161">
        <f t="shared" si="197"/>
        <v>0</v>
      </c>
      <c r="AC139" s="161">
        <f t="shared" ref="AC139" si="198">SUM(AC136:AC138)</f>
        <v>0</v>
      </c>
      <c r="AD139" s="161">
        <f t="shared" ref="AD139" si="199">SUM(AD136:AD138)</f>
        <v>0</v>
      </c>
      <c r="AE139" s="215"/>
    </row>
    <row r="140" spans="1:31">
      <c r="D140" s="153"/>
      <c r="E140" s="154"/>
      <c r="AE140" s="214"/>
    </row>
    <row r="141" spans="1:31">
      <c r="B141" s="156" t="s">
        <v>194</v>
      </c>
      <c r="C141" s="156"/>
      <c r="D141" s="157">
        <f>SUM(D136:D137)*Assumptions!$M$71</f>
        <v>0</v>
      </c>
      <c r="E141" s="203">
        <f>SUM(E136:E137)*Assumptions!$M$71</f>
        <v>6240000</v>
      </c>
      <c r="F141" s="156">
        <f>SUM(F136:F137)*Assumptions!$M$71</f>
        <v>6240000</v>
      </c>
      <c r="G141" s="156">
        <f>SUM(G136:G137)*Assumptions!$M$71</f>
        <v>6240000</v>
      </c>
      <c r="H141" s="156">
        <f>SUM(H136:H137)*Assumptions!$M$71</f>
        <v>5460000</v>
      </c>
      <c r="I141" s="156">
        <f>SUM(I136:I137)*Assumptions!$M$71</f>
        <v>4680000</v>
      </c>
      <c r="J141" s="156">
        <f>SUM(J136:J137)*Assumptions!$M$71</f>
        <v>3900000</v>
      </c>
      <c r="K141" s="156">
        <f>SUM(K136:K137)*Assumptions!$M$71</f>
        <v>3120000</v>
      </c>
      <c r="L141" s="156">
        <f>SUM(L136:L137)*Assumptions!$M$71</f>
        <v>2340000</v>
      </c>
      <c r="M141" s="156">
        <f>SUM(M136:M137)*Assumptions!$M$71</f>
        <v>1560000</v>
      </c>
      <c r="N141" s="156">
        <f>SUM(N136:N137)*Assumptions!$M$71</f>
        <v>780000</v>
      </c>
      <c r="O141" s="156">
        <f>SUM(O136:O137)*Assumptions!$M$71</f>
        <v>0</v>
      </c>
      <c r="P141" s="156">
        <f>SUM(P136:P137)*Assumptions!$M$71</f>
        <v>0</v>
      </c>
      <c r="Q141" s="156">
        <f>SUM(Q136:Q137)*Assumptions!$M$71</f>
        <v>0</v>
      </c>
      <c r="R141" s="156">
        <f>SUM(R136:R137)*Assumptions!$M$71</f>
        <v>0</v>
      </c>
      <c r="S141" s="156">
        <f>SUM(S136:S137)*Assumptions!$M$71</f>
        <v>0</v>
      </c>
      <c r="T141" s="156">
        <f>SUM(T136:T137)*Assumptions!$M$71</f>
        <v>0</v>
      </c>
      <c r="U141" s="156">
        <f>SUM(U136:U137)*Assumptions!$M$71</f>
        <v>0</v>
      </c>
      <c r="V141" s="156">
        <f>SUM(V136:V137)*Assumptions!$M$71</f>
        <v>0</v>
      </c>
      <c r="W141" s="156">
        <f>SUM(W136:W137)*Assumptions!$M$71</f>
        <v>0</v>
      </c>
      <c r="X141" s="156">
        <f>SUM(X136:X137)*Assumptions!$M$71</f>
        <v>0</v>
      </c>
      <c r="Y141" s="156">
        <f>SUM(Y136:Y137)*Assumptions!$M$71</f>
        <v>0</v>
      </c>
      <c r="Z141" s="156">
        <f>SUM(Z136:Z137)*Assumptions!$M$71</f>
        <v>0</v>
      </c>
      <c r="AA141" s="156">
        <f>SUM(AA136:AA137)*Assumptions!$M$71</f>
        <v>0</v>
      </c>
      <c r="AB141" s="156">
        <f>SUM(AB136:AB137)*Assumptions!$M$71</f>
        <v>0</v>
      </c>
      <c r="AC141" s="156">
        <f>SUM(AC136:AC137)*Assumptions!$M$71</f>
        <v>0</v>
      </c>
      <c r="AD141" s="156">
        <f>SUM(AD136:AD137)*Assumptions!$M$71</f>
        <v>0</v>
      </c>
      <c r="AE141" s="214"/>
    </row>
    <row r="142" spans="1:31">
      <c r="D142" s="153"/>
      <c r="E142" s="154"/>
      <c r="AE142" s="214"/>
    </row>
    <row r="143" spans="1:31" ht="14.4">
      <c r="A143" s="152" t="s">
        <v>96</v>
      </c>
      <c r="B143" s="147" t="s">
        <v>195</v>
      </c>
      <c r="C143" s="165"/>
      <c r="D143" s="166" t="s">
        <v>159</v>
      </c>
      <c r="E143" s="167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</row>
    <row r="144" spans="1:31">
      <c r="D144" s="153"/>
      <c r="E144" s="154"/>
      <c r="AE144" s="214"/>
    </row>
    <row r="145" spans="1:31">
      <c r="D145" s="153"/>
      <c r="E145" s="154"/>
      <c r="AE145" s="214"/>
    </row>
    <row r="146" spans="1:31">
      <c r="B146" s="152" t="s">
        <v>196</v>
      </c>
      <c r="C146" s="198">
        <f>Assumptions!M8</f>
        <v>2.5000000000000001E-2</v>
      </c>
      <c r="D146" s="153">
        <f>(Assumptions!$F$5*Assumptions!$F$6)*((1+$C$146)^D$54)</f>
        <v>78151045.049999997</v>
      </c>
      <c r="E146" s="154">
        <f>(Assumptions!$F$5*Assumptions!$F$6)*((1+$C$146)^E$54)</f>
        <v>80104821.176249996</v>
      </c>
      <c r="F146" s="152">
        <f>(Assumptions!$F$5*Assumptions!$F$6)*((1+$C$146)^F$54)</f>
        <v>82107441.705656245</v>
      </c>
      <c r="G146" s="152">
        <f>(Assumptions!$F$5*Assumptions!$F$6)*((1+$C$146)^G$54)</f>
        <v>84160127.748297632</v>
      </c>
      <c r="H146" s="152">
        <f>(Assumptions!$F$5*Assumptions!$F$6)*((1+$C$146)^H$54)</f>
        <v>86264130.942005068</v>
      </c>
      <c r="I146" s="152">
        <f>(Assumptions!$F$5*Assumptions!$F$6)*((1+$C$146)^I$54)</f>
        <v>88420734.215555191</v>
      </c>
      <c r="J146" s="152">
        <f>(Assumptions!$F$5*Assumptions!$F$6)*((1+$C$146)^J$54)</f>
        <v>90631252.570944071</v>
      </c>
      <c r="K146" s="152">
        <f>(Assumptions!$F$5*Assumptions!$F$6)*((1+$C$146)^K$54)</f>
        <v>92897033.885217667</v>
      </c>
      <c r="L146" s="152">
        <f>(Assumptions!$F$5*Assumptions!$F$6)*((1+$C$146)^L$54)</f>
        <v>95219459.732348099</v>
      </c>
      <c r="M146" s="152">
        <f>(Assumptions!$F$5*Assumptions!$F$6)*((1+$C$146)^M$54)</f>
        <v>97599946.225656793</v>
      </c>
      <c r="N146" s="152">
        <f>(Assumptions!$F$5*Assumptions!$F$6)*((1+$C$146)^N$54)</f>
        <v>100039944.88129821</v>
      </c>
      <c r="O146" s="152">
        <f>(Assumptions!$F$5*Assumptions!$F$6)*((1+$C$146)^O$54)</f>
        <v>102540943.50333066</v>
      </c>
      <c r="P146" s="152">
        <f>(Assumptions!$F$5*Assumptions!$F$6)*((1+$C$146)^P$54)</f>
        <v>105104467.09091392</v>
      </c>
      <c r="Q146" s="152">
        <f>(Assumptions!$F$5*Assumptions!$F$6)*((1+$C$146)^Q$54)</f>
        <v>107732078.76818676</v>
      </c>
      <c r="R146" s="152">
        <f>(Assumptions!$F$5*Assumptions!$F$6)*((1+$C$146)^R$54)</f>
        <v>110425380.73739144</v>
      </c>
      <c r="S146" s="152">
        <f>(Assumptions!$F$5*Assumptions!$F$6)*((1+$C$146)^S$54)</f>
        <v>113186015.25582622</v>
      </c>
      <c r="T146" s="152">
        <f>(Assumptions!$F$5*Assumptions!$F$6)*((1+$C$146)^T$54)</f>
        <v>116015665.63722186</v>
      </c>
      <c r="U146" s="152">
        <f>(Assumptions!$F$5*Assumptions!$F$6)*((1+$C$146)^U$54)</f>
        <v>118916057.27815242</v>
      </c>
      <c r="V146" s="152">
        <f>(Assumptions!$F$5*Assumptions!$F$6)*((1+$C$146)^V$54)</f>
        <v>121888958.71010622</v>
      </c>
      <c r="W146" s="152">
        <f>(Assumptions!$F$5*Assumptions!$F$6)*((1+$C$146)^W$54)</f>
        <v>124936182.67785886</v>
      </c>
      <c r="X146" s="152">
        <f>(Assumptions!$F$5*Assumptions!$F$6)*((1+$C$146)^X$54)</f>
        <v>128059587.24480532</v>
      </c>
      <c r="Y146" s="152">
        <f>(Assumptions!$F$5*Assumptions!$F$6)*((1+$C$146)^Y$54)</f>
        <v>131261076.92592545</v>
      </c>
      <c r="Z146" s="152">
        <f>(Assumptions!$F$5*Assumptions!$F$6)*((1+$C$146)^Z$54)</f>
        <v>134542603.84907359</v>
      </c>
      <c r="AA146" s="152">
        <f>(Assumptions!$F$5*Assumptions!$F$6)*((1+$C$146)^AA$54)</f>
        <v>137906168.94530043</v>
      </c>
      <c r="AB146" s="152">
        <f>(Assumptions!$F$5*Assumptions!$F$6)*((1+$C$146)^AB$54)</f>
        <v>141353823.16893291</v>
      </c>
      <c r="AC146" s="152">
        <f>(Assumptions!$F$5*Assumptions!$F$6)*((1+$C$146)^AC$54)</f>
        <v>144887668.74815622</v>
      </c>
      <c r="AD146" s="152">
        <f>(Assumptions!$F$5*Assumptions!$F$6)*((1+$C$146)^AD$54)</f>
        <v>148509860.46686012</v>
      </c>
      <c r="AE146" s="214">
        <f>(Assumptions!$F$5*Assumptions!$F$6)*((1+$C$146)^AE$54)</f>
        <v>152222606.97853163</v>
      </c>
    </row>
    <row r="147" spans="1:31">
      <c r="D147" s="153"/>
      <c r="E147" s="154"/>
      <c r="AE147" s="214"/>
    </row>
    <row r="148" spans="1:31">
      <c r="D148" s="153"/>
      <c r="E148" s="154"/>
      <c r="AE148" s="214"/>
    </row>
    <row r="149" spans="1:31" ht="14.4">
      <c r="A149" s="152" t="s">
        <v>96</v>
      </c>
      <c r="B149" s="147" t="s">
        <v>2</v>
      </c>
      <c r="C149" s="165"/>
      <c r="D149" s="166" t="s">
        <v>159</v>
      </c>
      <c r="E149" s="167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</row>
    <row r="150" spans="1:31">
      <c r="D150" s="153"/>
      <c r="E150" s="154"/>
      <c r="AE150" s="214"/>
    </row>
    <row r="151" spans="1:31" ht="12.6" thickBot="1">
      <c r="B151" s="243" t="s">
        <v>197</v>
      </c>
      <c r="C151" s="247">
        <f>-C46-C47</f>
        <v>-136500000</v>
      </c>
      <c r="D151" s="248">
        <f>-D46-D47</f>
        <v>-45500000</v>
      </c>
      <c r="E151" s="249">
        <f>-E46-E47</f>
        <v>-78000000</v>
      </c>
      <c r="F151" s="247">
        <f>F35+E50</f>
        <v>24546145.842031233</v>
      </c>
      <c r="G151" s="247">
        <f>G35</f>
        <v>34909957.971599996</v>
      </c>
      <c r="H151" s="247">
        <f t="shared" ref="H151:W151" si="200">H35</f>
        <v>37762941.282768756</v>
      </c>
      <c r="I151" s="247">
        <f t="shared" si="200"/>
        <v>43347432.475184061</v>
      </c>
      <c r="J151" s="247">
        <f t="shared" si="200"/>
        <v>43308432.475184061</v>
      </c>
      <c r="K151" s="247">
        <f t="shared" si="200"/>
        <v>43269432.475184061</v>
      </c>
      <c r="L151" s="247">
        <f t="shared" si="200"/>
        <v>49697447.346461669</v>
      </c>
      <c r="M151" s="247">
        <f t="shared" si="200"/>
        <v>49658447.346461669</v>
      </c>
      <c r="N151" s="247">
        <f t="shared" si="200"/>
        <v>49619447.346461669</v>
      </c>
      <c r="O151" s="247">
        <f t="shared" si="200"/>
        <v>57017514.448430911</v>
      </c>
      <c r="P151" s="247">
        <f t="shared" si="200"/>
        <v>57017514.448430911</v>
      </c>
      <c r="Q151" s="247">
        <f t="shared" si="200"/>
        <v>57017514.448430911</v>
      </c>
      <c r="R151" s="247">
        <f t="shared" si="200"/>
        <v>65570141.615695536</v>
      </c>
      <c r="S151" s="247">
        <f t="shared" si="200"/>
        <v>65570141.615695536</v>
      </c>
      <c r="T151" s="247">
        <f t="shared" si="200"/>
        <v>65570141.615695536</v>
      </c>
      <c r="U151" s="247">
        <f t="shared" si="200"/>
        <v>75405662.85804987</v>
      </c>
      <c r="V151" s="247">
        <f t="shared" si="200"/>
        <v>75405662.85804987</v>
      </c>
      <c r="W151" s="247">
        <f t="shared" si="200"/>
        <v>75405662.85804987</v>
      </c>
      <c r="X151" s="247">
        <f t="shared" ref="X151:AA151" si="201">X35</f>
        <v>86716512.28675735</v>
      </c>
      <c r="Y151" s="247">
        <f t="shared" si="201"/>
        <v>86716512.28675735</v>
      </c>
      <c r="Z151" s="247">
        <f t="shared" si="201"/>
        <v>86716512.28675735</v>
      </c>
      <c r="AA151" s="247">
        <f t="shared" si="201"/>
        <v>99723989.129770935</v>
      </c>
      <c r="AB151" s="247">
        <f t="shared" ref="AB151:AD151" si="202">AB35</f>
        <v>99723989.129770935</v>
      </c>
      <c r="AC151" s="247">
        <f t="shared" si="202"/>
        <v>99723989.129770935</v>
      </c>
      <c r="AD151" s="247">
        <f t="shared" si="202"/>
        <v>114682587.49923657</v>
      </c>
      <c r="AE151" s="250">
        <f t="shared" ref="AE151" si="203">AE35</f>
        <v>152222606.97853163</v>
      </c>
    </row>
    <row r="152" spans="1:31">
      <c r="D152" s="153"/>
      <c r="E152" s="154"/>
      <c r="AE152" s="214"/>
    </row>
    <row r="153" spans="1:31" ht="12.6" thickBot="1">
      <c r="B153" s="243" t="s">
        <v>198</v>
      </c>
      <c r="C153" s="247">
        <f>-C46</f>
        <v>-136500000</v>
      </c>
      <c r="D153" s="248">
        <f t="shared" ref="D153:E153" si="204">-D46</f>
        <v>-45500000</v>
      </c>
      <c r="E153" s="249">
        <f t="shared" si="204"/>
        <v>0</v>
      </c>
      <c r="F153" s="247">
        <f>-F49</f>
        <v>18306145.842031233</v>
      </c>
      <c r="G153" s="247">
        <f t="shared" ref="G153:W153" si="205">-G49</f>
        <v>18919957.971599996</v>
      </c>
      <c r="H153" s="247">
        <f t="shared" si="205"/>
        <v>22552941.282768756</v>
      </c>
      <c r="I153" s="247">
        <f t="shared" si="205"/>
        <v>28917432.475184061</v>
      </c>
      <c r="J153" s="247">
        <f t="shared" si="205"/>
        <v>29658432.475184061</v>
      </c>
      <c r="K153" s="247">
        <f t="shared" si="205"/>
        <v>30399432.475184061</v>
      </c>
      <c r="L153" s="247">
        <f t="shared" si="205"/>
        <v>37607447.346461669</v>
      </c>
      <c r="M153" s="247">
        <f t="shared" si="205"/>
        <v>38348447.346461669</v>
      </c>
      <c r="N153" s="247">
        <f t="shared" si="205"/>
        <v>39089447.346461669</v>
      </c>
      <c r="O153" s="247">
        <f t="shared" si="205"/>
        <v>57017514.448430911</v>
      </c>
      <c r="P153" s="247">
        <f t="shared" si="205"/>
        <v>57017514.448430911</v>
      </c>
      <c r="Q153" s="247">
        <f t="shared" si="205"/>
        <v>57017514.448430911</v>
      </c>
      <c r="R153" s="247">
        <f t="shared" si="205"/>
        <v>65570141.615695536</v>
      </c>
      <c r="S153" s="247">
        <f t="shared" si="205"/>
        <v>65570141.615695536</v>
      </c>
      <c r="T153" s="247">
        <f t="shared" si="205"/>
        <v>65570141.615695536</v>
      </c>
      <c r="U153" s="247">
        <f t="shared" si="205"/>
        <v>75405662.85804987</v>
      </c>
      <c r="V153" s="247">
        <f t="shared" si="205"/>
        <v>75405662.85804987</v>
      </c>
      <c r="W153" s="247">
        <f t="shared" si="205"/>
        <v>75405662.85804987</v>
      </c>
      <c r="X153" s="247">
        <f t="shared" ref="X153:AA153" si="206">-X49</f>
        <v>86716512.28675735</v>
      </c>
      <c r="Y153" s="247">
        <f t="shared" si="206"/>
        <v>86716512.28675735</v>
      </c>
      <c r="Z153" s="247">
        <f t="shared" si="206"/>
        <v>86716512.28675735</v>
      </c>
      <c r="AA153" s="247">
        <f t="shared" si="206"/>
        <v>99723989.129770935</v>
      </c>
      <c r="AB153" s="247">
        <f t="shared" ref="AB153:AD153" si="207">-AB49</f>
        <v>99723989.129770935</v>
      </c>
      <c r="AC153" s="247">
        <f t="shared" si="207"/>
        <v>99723989.129770935</v>
      </c>
      <c r="AD153" s="247">
        <f t="shared" si="207"/>
        <v>114682587.49923657</v>
      </c>
      <c r="AE153" s="250">
        <f t="shared" ref="AE153" si="208">-AE49</f>
        <v>152222606.97853163</v>
      </c>
    </row>
    <row r="154" spans="1:31">
      <c r="D154" s="153"/>
      <c r="E154" s="154"/>
      <c r="AE154" s="214"/>
    </row>
    <row r="155" spans="1:31">
      <c r="B155" s="253" t="s">
        <v>199</v>
      </c>
      <c r="C155" s="219">
        <f>IRR(C151:AE151)</f>
        <v>0.14911386654202974</v>
      </c>
      <c r="D155" s="218"/>
      <c r="E155" s="154"/>
      <c r="AE155" s="214"/>
    </row>
    <row r="156" spans="1:31">
      <c r="C156" s="213"/>
      <c r="D156" s="153"/>
      <c r="E156" s="154"/>
      <c r="AE156" s="214"/>
    </row>
    <row r="157" spans="1:31">
      <c r="B157" s="253" t="s">
        <v>200</v>
      </c>
      <c r="C157" s="219">
        <f>IRR(C153:AE153)</f>
        <v>0.15652102003588664</v>
      </c>
      <c r="D157" s="218"/>
      <c r="E157" s="154"/>
      <c r="AE157" s="214"/>
    </row>
    <row r="158" spans="1:31">
      <c r="D158" s="153"/>
      <c r="E158" s="154"/>
      <c r="AE158" s="214"/>
    </row>
    <row r="159" spans="1:31">
      <c r="B159" s="251" t="s">
        <v>201</v>
      </c>
      <c r="C159" s="220">
        <f>SUMIFS($C$153:$AE$153,$C$153:$AE$153,"&gt;"&amp;0)/-SUMIFS($C$153:$AE$153,$C$153:$AE$153,"&lt;"&amp;0)-1</f>
        <v>8.2527820882154899</v>
      </c>
      <c r="D159" s="218"/>
      <c r="E159" s="154"/>
      <c r="AE159" s="214"/>
    </row>
    <row r="160" spans="1:31">
      <c r="B160" s="252" t="s">
        <v>202</v>
      </c>
      <c r="C160" s="221">
        <f>$C$159/COUNT($D$153:$AE$153)</f>
        <v>0.2947422174362675</v>
      </c>
      <c r="D160" s="218"/>
      <c r="E160" s="154"/>
      <c r="AE160" s="214"/>
    </row>
    <row r="161" spans="1:31">
      <c r="D161" s="153"/>
      <c r="E161" s="154"/>
      <c r="AE161" s="214"/>
    </row>
    <row r="162" spans="1:31">
      <c r="B162" s="251" t="s">
        <v>203</v>
      </c>
      <c r="C162" s="220">
        <f>SUMIFS($C$151:$AE$151,$C$151:$AE$151,"&gt;"&amp;0)/-SUMIFS($C$151:$AE$151,$C$151:$AE$151,"&lt;"&amp;0)-1</f>
        <v>5.9089474617508433</v>
      </c>
      <c r="D162" s="153"/>
      <c r="E162" s="154"/>
      <c r="AE162" s="214"/>
    </row>
    <row r="163" spans="1:31">
      <c r="B163" s="252" t="s">
        <v>204</v>
      </c>
      <c r="C163" s="221">
        <f>$C$162/COUNT($D$151:$AE$151)</f>
        <v>0.21103383791967298</v>
      </c>
      <c r="D163" s="153"/>
      <c r="E163" s="154"/>
      <c r="AE163" s="214"/>
    </row>
    <row r="164" spans="1:31">
      <c r="D164" s="153"/>
      <c r="E164" s="154"/>
      <c r="AE164" s="214"/>
    </row>
    <row r="165" spans="1:31" ht="14.4">
      <c r="A165" s="152" t="s">
        <v>96</v>
      </c>
      <c r="B165" s="147" t="s">
        <v>205</v>
      </c>
      <c r="C165" s="165"/>
      <c r="D165" s="166" t="s">
        <v>159</v>
      </c>
      <c r="E165" s="167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</row>
    <row r="166" spans="1:31">
      <c r="D166" s="153"/>
      <c r="E166" s="154"/>
      <c r="AE166" s="214"/>
    </row>
    <row r="167" spans="1:31">
      <c r="B167" s="152" t="s">
        <v>206</v>
      </c>
      <c r="D167" s="153">
        <f>D54</f>
        <v>1</v>
      </c>
      <c r="E167" s="154">
        <f t="shared" ref="E167:AE167" si="209">E54</f>
        <v>2</v>
      </c>
      <c r="F167" s="152">
        <f t="shared" si="209"/>
        <v>3</v>
      </c>
      <c r="G167" s="152">
        <f t="shared" si="209"/>
        <v>4</v>
      </c>
      <c r="H167" s="152">
        <f t="shared" si="209"/>
        <v>5</v>
      </c>
      <c r="I167" s="152">
        <f t="shared" si="209"/>
        <v>6</v>
      </c>
      <c r="J167" s="152">
        <f t="shared" si="209"/>
        <v>7</v>
      </c>
      <c r="K167" s="152">
        <f t="shared" si="209"/>
        <v>8</v>
      </c>
      <c r="L167" s="152">
        <f t="shared" si="209"/>
        <v>9</v>
      </c>
      <c r="M167" s="152">
        <f t="shared" si="209"/>
        <v>10</v>
      </c>
      <c r="N167" s="152">
        <f t="shared" si="209"/>
        <v>11</v>
      </c>
      <c r="O167" s="152">
        <f t="shared" si="209"/>
        <v>12</v>
      </c>
      <c r="P167" s="152">
        <f t="shared" si="209"/>
        <v>13</v>
      </c>
      <c r="Q167" s="152">
        <f t="shared" si="209"/>
        <v>14</v>
      </c>
      <c r="R167" s="152">
        <f t="shared" si="209"/>
        <v>15</v>
      </c>
      <c r="S167" s="152">
        <f t="shared" si="209"/>
        <v>16</v>
      </c>
      <c r="T167" s="152">
        <f t="shared" si="209"/>
        <v>17</v>
      </c>
      <c r="U167" s="152">
        <f t="shared" si="209"/>
        <v>18</v>
      </c>
      <c r="V167" s="152">
        <f t="shared" si="209"/>
        <v>19</v>
      </c>
      <c r="W167" s="152">
        <f t="shared" si="209"/>
        <v>20</v>
      </c>
      <c r="X167" s="152">
        <f t="shared" ref="X167:AA167" si="210">X54</f>
        <v>21</v>
      </c>
      <c r="Y167" s="152">
        <f t="shared" si="210"/>
        <v>22</v>
      </c>
      <c r="Z167" s="152">
        <f t="shared" si="210"/>
        <v>23</v>
      </c>
      <c r="AA167" s="152">
        <f t="shared" si="210"/>
        <v>24</v>
      </c>
      <c r="AB167" s="152">
        <f t="shared" ref="AB167:AD167" si="211">AB54</f>
        <v>25</v>
      </c>
      <c r="AC167" s="152">
        <f t="shared" si="211"/>
        <v>26</v>
      </c>
      <c r="AD167" s="152">
        <f t="shared" si="211"/>
        <v>27</v>
      </c>
      <c r="AE167" s="214">
        <f t="shared" si="209"/>
        <v>28</v>
      </c>
    </row>
    <row r="168" spans="1:31">
      <c r="B168" s="152" t="s">
        <v>28</v>
      </c>
      <c r="C168" s="152">
        <f>Assumptions!$T$17</f>
        <v>5</v>
      </c>
      <c r="D168" s="153"/>
      <c r="E168" s="154"/>
      <c r="AE168" s="214"/>
    </row>
    <row r="169" spans="1:31">
      <c r="B169" s="152" t="s">
        <v>36</v>
      </c>
      <c r="C169" s="212">
        <f>Assumptions!T18</f>
        <v>0.08</v>
      </c>
      <c r="D169" s="153"/>
      <c r="E169" s="154"/>
      <c r="AE169" s="214"/>
    </row>
    <row r="170" spans="1:31">
      <c r="D170" s="153"/>
      <c r="E170" s="154"/>
      <c r="AE170" s="214"/>
    </row>
    <row r="171" spans="1:31">
      <c r="B171" s="152" t="str">
        <f>B153</f>
        <v>Cash available for Investors</v>
      </c>
      <c r="C171" s="152">
        <f>IF(C$167&gt;$C$168,0,C153)</f>
        <v>-136500000</v>
      </c>
      <c r="D171" s="153">
        <f t="shared" ref="D171:AE171" si="212">IF(D$167&gt;$C$168,0,D153)</f>
        <v>-45500000</v>
      </c>
      <c r="E171" s="154">
        <f t="shared" si="212"/>
        <v>0</v>
      </c>
      <c r="F171" s="152">
        <f t="shared" si="212"/>
        <v>18306145.842031233</v>
      </c>
      <c r="G171" s="152">
        <f t="shared" si="212"/>
        <v>18919957.971599996</v>
      </c>
      <c r="H171" s="152">
        <f t="shared" si="212"/>
        <v>22552941.282768756</v>
      </c>
      <c r="I171" s="152">
        <f t="shared" si="212"/>
        <v>0</v>
      </c>
      <c r="J171" s="152">
        <f t="shared" si="212"/>
        <v>0</v>
      </c>
      <c r="K171" s="152">
        <f t="shared" si="212"/>
        <v>0</v>
      </c>
      <c r="L171" s="152">
        <f t="shared" si="212"/>
        <v>0</v>
      </c>
      <c r="M171" s="152">
        <f t="shared" si="212"/>
        <v>0</v>
      </c>
      <c r="N171" s="152">
        <f t="shared" si="212"/>
        <v>0</v>
      </c>
      <c r="O171" s="152">
        <f t="shared" si="212"/>
        <v>0</v>
      </c>
      <c r="P171" s="152">
        <f t="shared" si="212"/>
        <v>0</v>
      </c>
      <c r="Q171" s="152">
        <f t="shared" si="212"/>
        <v>0</v>
      </c>
      <c r="R171" s="152">
        <f t="shared" si="212"/>
        <v>0</v>
      </c>
      <c r="S171" s="152">
        <f t="shared" si="212"/>
        <v>0</v>
      </c>
      <c r="T171" s="152">
        <f t="shared" si="212"/>
        <v>0</v>
      </c>
      <c r="U171" s="152">
        <f t="shared" si="212"/>
        <v>0</v>
      </c>
      <c r="V171" s="152">
        <f t="shared" si="212"/>
        <v>0</v>
      </c>
      <c r="W171" s="152">
        <f t="shared" si="212"/>
        <v>0</v>
      </c>
      <c r="X171" s="152">
        <f t="shared" ref="X171:AA171" si="213">IF(X$167&gt;$C$168,0,X153)</f>
        <v>0</v>
      </c>
      <c r="Y171" s="152">
        <f t="shared" si="213"/>
        <v>0</v>
      </c>
      <c r="Z171" s="152">
        <f t="shared" si="213"/>
        <v>0</v>
      </c>
      <c r="AA171" s="152">
        <f t="shared" si="213"/>
        <v>0</v>
      </c>
      <c r="AB171" s="152">
        <f t="shared" ref="AB171:AD171" si="214">IF(AB$167&gt;$C$168,0,AB153)</f>
        <v>0</v>
      </c>
      <c r="AC171" s="152">
        <f t="shared" si="214"/>
        <v>0</v>
      </c>
      <c r="AD171" s="152">
        <f t="shared" si="214"/>
        <v>0</v>
      </c>
      <c r="AE171" s="214">
        <f t="shared" si="212"/>
        <v>0</v>
      </c>
    </row>
    <row r="172" spans="1:31">
      <c r="B172" s="152" t="s">
        <v>122</v>
      </c>
      <c r="C172" s="152">
        <f>IF(C167=$C$168,C151/$C$169,0)</f>
        <v>0</v>
      </c>
      <c r="D172" s="153">
        <f>IF(D167=$C$168,D151/$C$169,0)</f>
        <v>0</v>
      </c>
      <c r="E172" s="154">
        <f t="shared" ref="E172:AE172" si="215">IF(E167=$C$168,E151/$C$169,0)</f>
        <v>0</v>
      </c>
      <c r="F172" s="152">
        <f t="shared" si="215"/>
        <v>0</v>
      </c>
      <c r="G172" s="152">
        <f t="shared" si="215"/>
        <v>0</v>
      </c>
      <c r="H172" s="152">
        <f t="shared" si="215"/>
        <v>472036766.03460944</v>
      </c>
      <c r="I172" s="152">
        <f t="shared" si="215"/>
        <v>0</v>
      </c>
      <c r="J172" s="152">
        <f t="shared" si="215"/>
        <v>0</v>
      </c>
      <c r="K172" s="152">
        <f t="shared" si="215"/>
        <v>0</v>
      </c>
      <c r="L172" s="152">
        <f t="shared" si="215"/>
        <v>0</v>
      </c>
      <c r="M172" s="152">
        <f t="shared" si="215"/>
        <v>0</v>
      </c>
      <c r="N172" s="152">
        <f t="shared" si="215"/>
        <v>0</v>
      </c>
      <c r="O172" s="152">
        <f t="shared" si="215"/>
        <v>0</v>
      </c>
      <c r="P172" s="152">
        <f t="shared" si="215"/>
        <v>0</v>
      </c>
      <c r="Q172" s="152">
        <f t="shared" si="215"/>
        <v>0</v>
      </c>
      <c r="R172" s="152">
        <f t="shared" si="215"/>
        <v>0</v>
      </c>
      <c r="S172" s="152">
        <f t="shared" si="215"/>
        <v>0</v>
      </c>
      <c r="T172" s="152">
        <f t="shared" si="215"/>
        <v>0</v>
      </c>
      <c r="U172" s="152">
        <f t="shared" si="215"/>
        <v>0</v>
      </c>
      <c r="V172" s="152">
        <f t="shared" si="215"/>
        <v>0</v>
      </c>
      <c r="W172" s="152">
        <f t="shared" si="215"/>
        <v>0</v>
      </c>
      <c r="X172" s="152">
        <f t="shared" ref="X172:AA172" si="216">IF(X167=$C$168,X151/$C$169,0)</f>
        <v>0</v>
      </c>
      <c r="Y172" s="152">
        <f t="shared" si="216"/>
        <v>0</v>
      </c>
      <c r="Z172" s="152">
        <f t="shared" si="216"/>
        <v>0</v>
      </c>
      <c r="AA172" s="152">
        <f t="shared" si="216"/>
        <v>0</v>
      </c>
      <c r="AB172" s="152">
        <f t="shared" ref="AB172:AD172" si="217">IF(AB167=$C$168,AB151/$C$169,0)</f>
        <v>0</v>
      </c>
      <c r="AC172" s="152">
        <f t="shared" si="217"/>
        <v>0</v>
      </c>
      <c r="AD172" s="152">
        <f t="shared" si="217"/>
        <v>0</v>
      </c>
      <c r="AE172" s="214">
        <f t="shared" si="215"/>
        <v>0</v>
      </c>
    </row>
    <row r="173" spans="1:31">
      <c r="B173" s="152" t="s">
        <v>207</v>
      </c>
      <c r="C173" s="152">
        <f>IF(C167=$C$168,SUM(D38:$AE$38),0)</f>
        <v>0</v>
      </c>
      <c r="D173" s="153">
        <f>IF(D167=$C$168,SUM(E38:$AE$38),0)</f>
        <v>0</v>
      </c>
      <c r="E173" s="154">
        <f>IF(E167=$C$168,SUM(F38:$AE$38),0)</f>
        <v>0</v>
      </c>
      <c r="F173" s="152">
        <f>IF(F167=$C$168,SUM(G38:$AE$38),0)</f>
        <v>0</v>
      </c>
      <c r="G173" s="152">
        <f>IF(G167=$C$168,SUM(H38:$AE$38),0)</f>
        <v>0</v>
      </c>
      <c r="H173" s="152">
        <f>IF(H167=$C$168,SUM(I38:$AE$38),0)</f>
        <v>-58500000</v>
      </c>
      <c r="I173" s="152">
        <f>IF(I167=$C$168,SUM(J38:$AE$38),0)</f>
        <v>0</v>
      </c>
      <c r="J173" s="152">
        <f>IF(J167=$C$168,SUM(K38:$AE$38),0)</f>
        <v>0</v>
      </c>
      <c r="K173" s="152">
        <f>IF(K167=$C$168,SUM(L38:$AE$38),0)</f>
        <v>0</v>
      </c>
      <c r="L173" s="152">
        <f>IF(L167=$C$168,SUM(M38:$AE$38),0)</f>
        <v>0</v>
      </c>
      <c r="M173" s="152">
        <f>IF(M167=$C$168,SUM(N38:$AE$38),0)</f>
        <v>0</v>
      </c>
      <c r="N173" s="152">
        <f>IF(N167=$C$168,SUM(O38:$AE$38),0)</f>
        <v>0</v>
      </c>
      <c r="O173" s="152">
        <f>IF(O167=$C$168,SUM(P38:$AE$38),0)</f>
        <v>0</v>
      </c>
      <c r="P173" s="152">
        <f>IF(P167=$C$168,SUM(Q38:$AE$38),0)</f>
        <v>0</v>
      </c>
      <c r="Q173" s="152">
        <f>IF(Q167=$C$168,SUM(R38:$AE$38),0)</f>
        <v>0</v>
      </c>
      <c r="R173" s="152">
        <f>IF(R167=$C$168,SUM(S38:$AE$38),0)</f>
        <v>0</v>
      </c>
      <c r="S173" s="152">
        <f>IF(S167=$C$168,SUM(T38:$AE$38),0)</f>
        <v>0</v>
      </c>
      <c r="T173" s="152">
        <f>IF(T167=$C$168,SUM(U38:$AE$38),0)</f>
        <v>0</v>
      </c>
      <c r="U173" s="152">
        <f>IF(U167=$C$168,SUM(V38:$AE$38),0)</f>
        <v>0</v>
      </c>
      <c r="V173" s="152">
        <f>IF(V167=$C$168,SUM(W38:$AE$38),0)</f>
        <v>0</v>
      </c>
      <c r="W173" s="152">
        <f>IF(W167=$C$168,SUM(AE38:$AE$38),0)</f>
        <v>0</v>
      </c>
      <c r="X173" s="152">
        <f>IF(X167=$C$168,SUM($AE38:AF$38),0)</f>
        <v>0</v>
      </c>
      <c r="Y173" s="152">
        <f>IF(Y167=$C$168,SUM($AE38:AG$38),0)</f>
        <v>0</v>
      </c>
      <c r="Z173" s="152">
        <f>IF(Z167=$C$168,SUM($AE38:AH$38),0)</f>
        <v>0</v>
      </c>
      <c r="AA173" s="152">
        <f>IF(AA167=$C$168,SUM($AE38:AI$38),0)</f>
        <v>0</v>
      </c>
      <c r="AB173" s="152">
        <f>IF(AB167=$C$168,SUM($AE38:AJ$38),0)</f>
        <v>0</v>
      </c>
      <c r="AC173" s="152">
        <f>IF(AC167=$C$168,SUM($AE38:AK$38),0)</f>
        <v>0</v>
      </c>
      <c r="AD173" s="152">
        <f>IF(AD167=$C$168,SUM($AE38:AL$38),0)</f>
        <v>0</v>
      </c>
      <c r="AE173" s="214">
        <f>IF(AE167=$C$168,SUM($AE38:AF$38),0)</f>
        <v>0</v>
      </c>
    </row>
    <row r="174" spans="1:31" ht="12.6" thickBot="1">
      <c r="B174" s="243" t="s">
        <v>208</v>
      </c>
      <c r="C174" s="243">
        <f>SUM(C171:C173)</f>
        <v>-136500000</v>
      </c>
      <c r="D174" s="244">
        <f t="shared" ref="D174:AE174" si="218">SUM(D171:D173)</f>
        <v>-45500000</v>
      </c>
      <c r="E174" s="245">
        <f t="shared" si="218"/>
        <v>0</v>
      </c>
      <c r="F174" s="243">
        <f t="shared" si="218"/>
        <v>18306145.842031233</v>
      </c>
      <c r="G174" s="243">
        <f t="shared" si="218"/>
        <v>18919957.971599996</v>
      </c>
      <c r="H174" s="243">
        <f t="shared" si="218"/>
        <v>436089707.31737816</v>
      </c>
      <c r="I174" s="243">
        <f t="shared" si="218"/>
        <v>0</v>
      </c>
      <c r="J174" s="243">
        <f t="shared" si="218"/>
        <v>0</v>
      </c>
      <c r="K174" s="243">
        <f t="shared" si="218"/>
        <v>0</v>
      </c>
      <c r="L174" s="243">
        <f t="shared" si="218"/>
        <v>0</v>
      </c>
      <c r="M174" s="243">
        <f t="shared" si="218"/>
        <v>0</v>
      </c>
      <c r="N174" s="243">
        <f t="shared" si="218"/>
        <v>0</v>
      </c>
      <c r="O174" s="243">
        <f t="shared" si="218"/>
        <v>0</v>
      </c>
      <c r="P174" s="243">
        <f t="shared" si="218"/>
        <v>0</v>
      </c>
      <c r="Q174" s="243">
        <f t="shared" si="218"/>
        <v>0</v>
      </c>
      <c r="R174" s="243">
        <f t="shared" si="218"/>
        <v>0</v>
      </c>
      <c r="S174" s="243">
        <f t="shared" si="218"/>
        <v>0</v>
      </c>
      <c r="T174" s="243">
        <f t="shared" si="218"/>
        <v>0</v>
      </c>
      <c r="U174" s="243">
        <f t="shared" si="218"/>
        <v>0</v>
      </c>
      <c r="V174" s="243">
        <f t="shared" si="218"/>
        <v>0</v>
      </c>
      <c r="W174" s="243">
        <f t="shared" si="218"/>
        <v>0</v>
      </c>
      <c r="X174" s="243">
        <f t="shared" ref="X174" si="219">SUM(X171:X173)</f>
        <v>0</v>
      </c>
      <c r="Y174" s="243">
        <f t="shared" ref="Y174" si="220">SUM(Y171:Y173)</f>
        <v>0</v>
      </c>
      <c r="Z174" s="243">
        <f t="shared" ref="Z174" si="221">SUM(Z171:Z173)</f>
        <v>0</v>
      </c>
      <c r="AA174" s="243">
        <f t="shared" ref="AA174:AB174" si="222">SUM(AA171:AA173)</f>
        <v>0</v>
      </c>
      <c r="AB174" s="243">
        <f t="shared" si="222"/>
        <v>0</v>
      </c>
      <c r="AC174" s="243">
        <f t="shared" ref="AC174" si="223">SUM(AC171:AC173)</f>
        <v>0</v>
      </c>
      <c r="AD174" s="243">
        <f t="shared" ref="AD174" si="224">SUM(AD171:AD173)</f>
        <v>0</v>
      </c>
      <c r="AE174" s="246">
        <f t="shared" si="218"/>
        <v>0</v>
      </c>
    </row>
    <row r="175" spans="1:31">
      <c r="D175" s="153"/>
      <c r="E175" s="154"/>
      <c r="AE175" s="214"/>
    </row>
    <row r="176" spans="1:31">
      <c r="B176" s="253" t="s">
        <v>200</v>
      </c>
      <c r="C176" s="219">
        <f>IRR(C174:AE174)</f>
        <v>0.22924999087432418</v>
      </c>
      <c r="D176" s="153"/>
      <c r="E176" s="154"/>
      <c r="AE176" s="214"/>
    </row>
    <row r="177" spans="2:31">
      <c r="D177" s="153"/>
      <c r="E177" s="154"/>
      <c r="AE177" s="214"/>
    </row>
    <row r="178" spans="2:31">
      <c r="B178" s="251" t="s">
        <v>201</v>
      </c>
      <c r="C178" s="220">
        <f>SUMIFS($C$174:$AE$174,$C$174:$AE$174,"&gt;"&amp;0)/-SUMIFS($C$174:$AE$174,$C$174:$AE$174,"&lt;"&amp;0)-1</f>
        <v>1.6006363248956559</v>
      </c>
      <c r="D178" s="153"/>
      <c r="E178" s="154"/>
      <c r="AE178" s="214"/>
    </row>
    <row r="179" spans="2:31">
      <c r="B179" s="252" t="s">
        <v>202</v>
      </c>
      <c r="C179" s="221">
        <f>$C$178/Assumptions!$T$17</f>
        <v>0.32012726497913119</v>
      </c>
      <c r="D179" s="153"/>
      <c r="E179" s="154"/>
      <c r="AE179" s="214"/>
    </row>
    <row r="180" spans="2:31">
      <c r="D180" s="153"/>
      <c r="E180" s="154"/>
      <c r="AE180" s="214"/>
    </row>
    <row r="181" spans="2:31">
      <c r="D181" s="153"/>
      <c r="E181" s="154"/>
      <c r="AE181" s="218"/>
    </row>
    <row r="182" spans="2:31">
      <c r="D182" s="153"/>
      <c r="E182" s="154"/>
      <c r="AE182" s="218"/>
    </row>
    <row r="183" spans="2:31">
      <c r="D183" s="153"/>
      <c r="E183" s="154"/>
      <c r="AE183" s="218"/>
    </row>
    <row r="184" spans="2:31">
      <c r="D184" s="153"/>
      <c r="E184" s="154"/>
      <c r="AE184" s="218"/>
    </row>
    <row r="185" spans="2:31">
      <c r="D185" s="153"/>
      <c r="E185" s="154"/>
      <c r="AE185" s="218"/>
    </row>
    <row r="186" spans="2:31">
      <c r="D186" s="153"/>
      <c r="E186" s="154"/>
      <c r="AE186" s="218"/>
    </row>
    <row r="187" spans="2:31">
      <c r="D187" s="153"/>
      <c r="E187" s="154"/>
      <c r="AE187" s="218"/>
    </row>
    <row r="188" spans="2:31">
      <c r="D188" s="153"/>
      <c r="E188" s="154"/>
    </row>
    <row r="189" spans="2:31">
      <c r="D189" s="153"/>
      <c r="E189" s="154"/>
    </row>
    <row r="190" spans="2:31">
      <c r="D190" s="153"/>
      <c r="E190" s="154"/>
    </row>
    <row r="191" spans="2:31">
      <c r="D191" s="153"/>
      <c r="E191" s="154"/>
    </row>
    <row r="192" spans="2:31">
      <c r="D192" s="153"/>
      <c r="E192" s="154"/>
    </row>
    <row r="193" spans="4:5">
      <c r="D193" s="153"/>
      <c r="E193" s="154"/>
    </row>
    <row r="194" spans="4:5">
      <c r="D194" s="153"/>
      <c r="E194" s="154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4F41-F0DD-4216-94FE-4490355AFAEF}">
  <sheetPr>
    <pageSetUpPr fitToPage="1"/>
  </sheetPr>
  <dimension ref="B1:M60"/>
  <sheetViews>
    <sheetView showGridLines="0" topLeftCell="A41" zoomScaleNormal="100" workbookViewId="0">
      <selection activeCell="G57" sqref="G57"/>
    </sheetView>
  </sheetViews>
  <sheetFormatPr defaultColWidth="8.88671875" defaultRowHeight="13.8"/>
  <cols>
    <col min="1" max="1" width="8.88671875" style="10"/>
    <col min="2" max="2" width="26.88671875" style="10" customWidth="1"/>
    <col min="3" max="3" width="35.33203125" style="10" customWidth="1"/>
    <col min="4" max="4" width="18.33203125" style="10" customWidth="1"/>
    <col min="5" max="5" width="22.109375" style="10" bestFit="1" customWidth="1"/>
    <col min="6" max="6" width="30" style="10" customWidth="1"/>
    <col min="7" max="7" width="28.33203125" style="10" customWidth="1"/>
    <col min="8" max="8" width="20.44140625" style="10" customWidth="1"/>
    <col min="9" max="9" width="19.44140625" style="10" customWidth="1"/>
    <col min="10" max="10" width="17.109375" style="10" bestFit="1" customWidth="1"/>
    <col min="11" max="11" width="17" style="10" customWidth="1"/>
    <col min="12" max="12" width="14.33203125" style="10" bestFit="1" customWidth="1"/>
    <col min="13" max="13" width="14.109375" style="10" bestFit="1" customWidth="1"/>
    <col min="14" max="14" width="15.33203125" style="10" bestFit="1" customWidth="1"/>
    <col min="15" max="15" width="15.44140625" style="10" bestFit="1" customWidth="1"/>
    <col min="16" max="16" width="15" style="10" bestFit="1" customWidth="1"/>
    <col min="17" max="17" width="16.6640625" style="10" bestFit="1" customWidth="1"/>
    <col min="18" max="18" width="15.88671875" style="10" bestFit="1" customWidth="1"/>
    <col min="19" max="20" width="13.88671875" style="10" bestFit="1" customWidth="1"/>
    <col min="21" max="21" width="15.109375" style="10" bestFit="1" customWidth="1"/>
    <col min="22" max="22" width="16.88671875" style="10" bestFit="1" customWidth="1"/>
    <col min="23" max="23" width="16.33203125" style="10" bestFit="1" customWidth="1"/>
    <col min="24" max="16384" width="8.88671875" style="10"/>
  </cols>
  <sheetData>
    <row r="1" spans="2:13" ht="20.100000000000001" customHeight="1" thickBot="1"/>
    <row r="2" spans="2:13" ht="30" customHeight="1">
      <c r="B2" s="321" t="s">
        <v>209</v>
      </c>
      <c r="C2" s="322"/>
      <c r="D2" s="322"/>
      <c r="E2" s="322"/>
      <c r="F2" s="325"/>
      <c r="G2" s="326"/>
    </row>
    <row r="3" spans="2:13" ht="30" customHeight="1">
      <c r="B3" s="323"/>
      <c r="C3" s="324"/>
      <c r="D3" s="324"/>
      <c r="E3" s="324"/>
      <c r="F3" s="327"/>
      <c r="G3" s="328"/>
    </row>
    <row r="4" spans="2:13" ht="30" customHeight="1">
      <c r="B4" s="331" t="s">
        <v>210</v>
      </c>
      <c r="C4" s="332"/>
      <c r="D4" s="333">
        <v>45634</v>
      </c>
      <c r="E4" s="333"/>
      <c r="F4" s="327"/>
      <c r="G4" s="328"/>
    </row>
    <row r="5" spans="2:13" ht="30" customHeight="1" thickBot="1">
      <c r="B5" s="335"/>
      <c r="C5" s="336"/>
      <c r="D5" s="334"/>
      <c r="E5" s="334"/>
      <c r="F5" s="329"/>
      <c r="G5" s="330"/>
    </row>
    <row r="6" spans="2:13" ht="30" customHeight="1" thickBot="1">
      <c r="B6" s="317" t="s">
        <v>211</v>
      </c>
      <c r="C6" s="318"/>
      <c r="D6" s="318"/>
      <c r="E6" s="319"/>
      <c r="F6" s="319"/>
      <c r="G6" s="320"/>
    </row>
    <row r="7" spans="2:13" ht="20.100000000000001" customHeight="1">
      <c r="B7" s="337" t="s">
        <v>212</v>
      </c>
      <c r="C7" s="338"/>
      <c r="D7" s="100" t="s">
        <v>213</v>
      </c>
      <c r="E7" s="102">
        <v>42358.29</v>
      </c>
      <c r="F7" s="101" t="s">
        <v>214</v>
      </c>
      <c r="G7" s="97">
        <f>E7*E8</f>
        <v>76244922</v>
      </c>
    </row>
    <row r="8" spans="2:13" ht="20.100000000000001" customHeight="1">
      <c r="B8" s="339"/>
      <c r="C8" s="340"/>
      <c r="D8" s="100" t="s">
        <v>215</v>
      </c>
      <c r="E8" s="99">
        <v>1800</v>
      </c>
      <c r="F8" s="98" t="s">
        <v>12</v>
      </c>
      <c r="G8" s="97">
        <f>G7*0.07875</f>
        <v>6004287.6074999999</v>
      </c>
      <c r="H8" s="96"/>
    </row>
    <row r="9" spans="2:13" ht="20.100000000000001" customHeight="1" thickBot="1">
      <c r="B9" s="339"/>
      <c r="C9" s="340"/>
      <c r="D9" s="95" t="s">
        <v>20</v>
      </c>
      <c r="E9" s="94">
        <f>SUM(E13:E15)/E7</f>
        <v>0.65488951513387339</v>
      </c>
      <c r="F9" s="93"/>
      <c r="G9" s="92"/>
    </row>
    <row r="10" spans="2:13" ht="30" customHeight="1" thickBot="1">
      <c r="B10" s="285" t="s">
        <v>216</v>
      </c>
      <c r="C10" s="286"/>
      <c r="D10" s="286"/>
      <c r="E10" s="310"/>
      <c r="F10" s="74"/>
      <c r="G10" s="53">
        <f>G8+G7</f>
        <v>82249209.607500002</v>
      </c>
    </row>
    <row r="11" spans="2:13" ht="30" customHeight="1" thickBot="1">
      <c r="B11" s="317" t="s">
        <v>217</v>
      </c>
      <c r="C11" s="318"/>
      <c r="D11" s="318"/>
      <c r="E11" s="319"/>
      <c r="F11" s="319"/>
      <c r="G11" s="320"/>
    </row>
    <row r="12" spans="2:13" ht="20.100000000000001" customHeight="1">
      <c r="B12" s="341" t="s">
        <v>218</v>
      </c>
      <c r="C12" s="342"/>
      <c r="D12" s="91" t="s">
        <v>219</v>
      </c>
      <c r="E12" s="90" t="s">
        <v>213</v>
      </c>
      <c r="F12" s="90" t="s">
        <v>220</v>
      </c>
      <c r="G12" s="89" t="s">
        <v>221</v>
      </c>
    </row>
    <row r="13" spans="2:13" ht="20.100000000000001" customHeight="1">
      <c r="B13" s="306" t="s">
        <v>37</v>
      </c>
      <c r="C13" s="307"/>
      <c r="D13" s="84">
        <v>2400</v>
      </c>
      <c r="E13" s="83">
        <v>8000</v>
      </c>
      <c r="F13" s="82">
        <f t="shared" ref="F13:F19" si="0">G13/$G$20</f>
        <v>0.12742956901019389</v>
      </c>
      <c r="G13" s="81">
        <f t="shared" ref="G13:G18" si="1">E13*D13</f>
        <v>19200000</v>
      </c>
      <c r="I13" s="88"/>
      <c r="J13" s="88"/>
      <c r="K13" s="85"/>
      <c r="L13" s="87"/>
      <c r="M13" s="85"/>
    </row>
    <row r="14" spans="2:13" ht="20.100000000000001" customHeight="1">
      <c r="B14" s="306" t="s">
        <v>222</v>
      </c>
      <c r="C14" s="307"/>
      <c r="D14" s="84">
        <v>2400</v>
      </c>
      <c r="E14" s="83">
        <v>12200</v>
      </c>
      <c r="F14" s="82">
        <f t="shared" si="0"/>
        <v>0.19433009274054569</v>
      </c>
      <c r="G14" s="81">
        <f t="shared" si="1"/>
        <v>29280000</v>
      </c>
      <c r="I14" s="88"/>
      <c r="J14" s="88"/>
      <c r="K14" s="85"/>
      <c r="L14" s="87"/>
      <c r="M14" s="85"/>
    </row>
    <row r="15" spans="2:13" ht="20.100000000000001" customHeight="1">
      <c r="B15" s="306" t="s">
        <v>41</v>
      </c>
      <c r="C15" s="307"/>
      <c r="D15" s="84">
        <v>3800</v>
      </c>
      <c r="E15" s="83">
        <f>5800*1.3</f>
        <v>7540</v>
      </c>
      <c r="F15" s="82">
        <f t="shared" si="0"/>
        <v>0.19016208392083728</v>
      </c>
      <c r="G15" s="81">
        <f t="shared" si="1"/>
        <v>28652000</v>
      </c>
      <c r="I15" s="88"/>
      <c r="J15" s="88"/>
      <c r="K15" s="85"/>
      <c r="L15" s="87"/>
      <c r="M15" s="85"/>
    </row>
    <row r="16" spans="2:13" ht="20.100000000000001" customHeight="1">
      <c r="B16" s="306" t="s">
        <v>223</v>
      </c>
      <c r="C16" s="307"/>
      <c r="D16" s="84">
        <v>800</v>
      </c>
      <c r="E16" s="83">
        <f>E7*0.8</f>
        <v>33886.632000000005</v>
      </c>
      <c r="F16" s="82">
        <f t="shared" si="0"/>
        <v>0.17992328795696025</v>
      </c>
      <c r="G16" s="81">
        <f t="shared" si="1"/>
        <v>27109305.600000005</v>
      </c>
      <c r="H16" s="86"/>
      <c r="M16" s="85"/>
    </row>
    <row r="17" spans="2:13" ht="20.100000000000001" customHeight="1">
      <c r="B17" s="306" t="s">
        <v>224</v>
      </c>
      <c r="C17" s="307"/>
      <c r="D17" s="84">
        <v>2000</v>
      </c>
      <c r="E17" s="83">
        <f>300*60</f>
        <v>18000</v>
      </c>
      <c r="F17" s="82">
        <f t="shared" si="0"/>
        <v>0.23893044189411355</v>
      </c>
      <c r="G17" s="81">
        <f t="shared" si="1"/>
        <v>36000000</v>
      </c>
      <c r="H17" s="86"/>
      <c r="M17" s="85"/>
    </row>
    <row r="18" spans="2:13" ht="20.100000000000001" customHeight="1">
      <c r="B18" s="306" t="s">
        <v>225</v>
      </c>
      <c r="C18" s="307"/>
      <c r="D18" s="84">
        <v>2000</v>
      </c>
      <c r="E18" s="83">
        <f>E7*0.07</f>
        <v>2965.0803000000005</v>
      </c>
      <c r="F18" s="82">
        <f t="shared" si="0"/>
        <v>3.9358219240585052E-2</v>
      </c>
      <c r="G18" s="81">
        <f t="shared" si="1"/>
        <v>5930160.6000000015</v>
      </c>
    </row>
    <row r="19" spans="2:13" ht="20.100000000000001" customHeight="1" thickBot="1">
      <c r="B19" s="308" t="s">
        <v>48</v>
      </c>
      <c r="C19" s="309"/>
      <c r="D19" s="80"/>
      <c r="E19" s="79"/>
      <c r="F19" s="78">
        <f t="shared" si="0"/>
        <v>2.9866305236764194E-2</v>
      </c>
      <c r="G19" s="77">
        <v>4500000</v>
      </c>
    </row>
    <row r="20" spans="2:13" ht="30" customHeight="1" thickBot="1">
      <c r="B20" s="285" t="s">
        <v>216</v>
      </c>
      <c r="C20" s="310"/>
      <c r="D20" s="76">
        <f>G20/E20</f>
        <v>5431.5597043979815</v>
      </c>
      <c r="E20" s="75">
        <f>SUM(E13:E15)</f>
        <v>27740</v>
      </c>
      <c r="F20" s="74">
        <f>SUM(F13:F19)</f>
        <v>0.99999999999999967</v>
      </c>
      <c r="G20" s="53">
        <f>SUM(G13:G19)</f>
        <v>150671466.20000002</v>
      </c>
    </row>
    <row r="21" spans="2:13" ht="30" customHeight="1" thickBot="1">
      <c r="B21" s="311" t="s">
        <v>226</v>
      </c>
      <c r="C21" s="312"/>
      <c r="D21" s="312"/>
      <c r="E21" s="313"/>
      <c r="F21" s="313"/>
      <c r="G21" s="314"/>
    </row>
    <row r="22" spans="2:13" ht="20.100000000000001" customHeight="1" thickBot="1">
      <c r="B22" s="315" t="s">
        <v>54</v>
      </c>
      <c r="C22" s="316"/>
      <c r="D22" s="316"/>
      <c r="E22" s="73"/>
      <c r="F22" s="72">
        <f>SUM(F23:F27)</f>
        <v>3.0000000000000002E-2</v>
      </c>
      <c r="G22" s="71">
        <f>SUM(G23:G27)</f>
        <v>4520143.9860000005</v>
      </c>
    </row>
    <row r="23" spans="2:13" ht="20.100000000000001" customHeight="1" thickTop="1">
      <c r="B23" s="299"/>
      <c r="C23" s="301" t="s">
        <v>55</v>
      </c>
      <c r="D23" s="301"/>
      <c r="E23" s="302"/>
      <c r="F23" s="70">
        <v>7.4999999999999997E-3</v>
      </c>
      <c r="G23" s="69">
        <f>G20*F23</f>
        <v>1130035.9965000001</v>
      </c>
    </row>
    <row r="24" spans="2:13" ht="20.100000000000001" customHeight="1">
      <c r="B24" s="295"/>
      <c r="C24" s="283" t="s">
        <v>57</v>
      </c>
      <c r="D24" s="283"/>
      <c r="E24" s="303"/>
      <c r="F24" s="68">
        <v>5.0000000000000001E-3</v>
      </c>
      <c r="G24" s="67">
        <f>G20*F24</f>
        <v>753357.33100000012</v>
      </c>
    </row>
    <row r="25" spans="2:13" ht="20.100000000000001" customHeight="1">
      <c r="B25" s="295"/>
      <c r="C25" s="283" t="s">
        <v>58</v>
      </c>
      <c r="D25" s="283"/>
      <c r="E25" s="303"/>
      <c r="F25" s="68">
        <v>5.0000000000000001E-3</v>
      </c>
      <c r="G25" s="67">
        <f>G20*F25</f>
        <v>753357.33100000012</v>
      </c>
    </row>
    <row r="26" spans="2:13" ht="20.100000000000001" customHeight="1">
      <c r="B26" s="295"/>
      <c r="C26" s="304" t="s">
        <v>62</v>
      </c>
      <c r="D26" s="304"/>
      <c r="E26" s="305"/>
      <c r="F26" s="68">
        <v>7.4999999999999997E-3</v>
      </c>
      <c r="G26" s="67">
        <f>G20*F26</f>
        <v>1130035.9965000001</v>
      </c>
      <c r="H26" s="62"/>
    </row>
    <row r="27" spans="2:13" ht="20.100000000000001" customHeight="1" thickBot="1">
      <c r="B27" s="300"/>
      <c r="C27" s="297" t="s">
        <v>63</v>
      </c>
      <c r="D27" s="297"/>
      <c r="E27" s="298"/>
      <c r="F27" s="66">
        <v>5.0000000000000001E-3</v>
      </c>
      <c r="G27" s="65">
        <f>G20*F27</f>
        <v>753357.33100000012</v>
      </c>
      <c r="H27" s="62"/>
    </row>
    <row r="28" spans="2:13" ht="20.100000000000001" customHeight="1" thickTop="1" thickBot="1">
      <c r="B28" s="292" t="s">
        <v>227</v>
      </c>
      <c r="C28" s="293"/>
      <c r="D28" s="293"/>
      <c r="E28" s="64"/>
      <c r="F28" s="63">
        <v>0.1</v>
      </c>
      <c r="G28" s="60">
        <f>F28*G20</f>
        <v>15067146.620000003</v>
      </c>
      <c r="H28" s="62"/>
    </row>
    <row r="29" spans="2:13" ht="20.100000000000001" customHeight="1" thickTop="1" thickBot="1">
      <c r="B29" s="292" t="s">
        <v>65</v>
      </c>
      <c r="C29" s="294"/>
      <c r="D29" s="294"/>
      <c r="E29" s="59"/>
      <c r="F29" s="61">
        <v>0.03</v>
      </c>
      <c r="G29" s="60">
        <f>F29*G20</f>
        <v>4520143.9860000005</v>
      </c>
    </row>
    <row r="30" spans="2:13" ht="20.100000000000001" customHeight="1" thickTop="1" thickBot="1">
      <c r="B30" s="292" t="s">
        <v>66</v>
      </c>
      <c r="C30" s="294"/>
      <c r="D30" s="294"/>
      <c r="E30" s="59"/>
      <c r="F30" s="58">
        <f>SUM(F31:F35)</f>
        <v>0.04</v>
      </c>
      <c r="G30" s="57">
        <f>F30*G20</f>
        <v>6026858.648000001</v>
      </c>
    </row>
    <row r="31" spans="2:13" ht="20.100000000000001" customHeight="1" thickTop="1">
      <c r="B31" s="295"/>
      <c r="C31" s="296" t="s">
        <v>67</v>
      </c>
      <c r="D31" s="296"/>
      <c r="E31" s="296"/>
      <c r="F31" s="279">
        <v>2.5000000000000001E-2</v>
      </c>
      <c r="G31" s="281">
        <f>F31*G20</f>
        <v>3766786.6550000007</v>
      </c>
    </row>
    <row r="32" spans="2:13" ht="20.100000000000001" customHeight="1">
      <c r="B32" s="295"/>
      <c r="C32" s="283" t="s">
        <v>68</v>
      </c>
      <c r="D32" s="283"/>
      <c r="E32" s="283"/>
      <c r="F32" s="280"/>
      <c r="G32" s="281"/>
    </row>
    <row r="33" spans="2:7" ht="20.100000000000001" customHeight="1">
      <c r="B33" s="295"/>
      <c r="C33" s="283" t="s">
        <v>74</v>
      </c>
      <c r="D33" s="283"/>
      <c r="E33" s="283"/>
      <c r="F33" s="280"/>
      <c r="G33" s="281"/>
    </row>
    <row r="34" spans="2:7" ht="20.100000000000001" customHeight="1">
      <c r="B34" s="295"/>
      <c r="C34" s="283" t="s">
        <v>75</v>
      </c>
      <c r="D34" s="283"/>
      <c r="E34" s="283"/>
      <c r="F34" s="280"/>
      <c r="G34" s="282"/>
    </row>
    <row r="35" spans="2:7" ht="20.100000000000001" customHeight="1" thickBot="1">
      <c r="B35" s="295"/>
      <c r="C35" s="284" t="s">
        <v>228</v>
      </c>
      <c r="D35" s="284"/>
      <c r="E35" s="284"/>
      <c r="F35" s="56">
        <v>1.4999999999999999E-2</v>
      </c>
      <c r="G35" s="55">
        <f>F35*G20</f>
        <v>2260071.9930000002</v>
      </c>
    </row>
    <row r="36" spans="2:7" ht="30" customHeight="1" thickBot="1">
      <c r="B36" s="285" t="s">
        <v>221</v>
      </c>
      <c r="C36" s="286"/>
      <c r="D36" s="286"/>
      <c r="E36" s="287"/>
      <c r="F36" s="54">
        <f>F30+F29+F28+F22</f>
        <v>0.2</v>
      </c>
      <c r="G36" s="53">
        <f>G22+G28+G29+G30</f>
        <v>30134293.240000006</v>
      </c>
    </row>
    <row r="37" spans="2:7" ht="30" customHeight="1" thickBot="1">
      <c r="B37" s="288" t="s">
        <v>229</v>
      </c>
      <c r="C37" s="289"/>
      <c r="D37" s="289"/>
      <c r="E37" s="289"/>
      <c r="F37" s="289"/>
      <c r="G37" s="52">
        <f>G36+G20+G10</f>
        <v>263054969.04750001</v>
      </c>
    </row>
    <row r="38" spans="2:7" ht="30" customHeight="1" thickBot="1">
      <c r="B38" s="48"/>
      <c r="C38" s="48"/>
      <c r="D38" s="48"/>
      <c r="E38" s="48"/>
      <c r="F38" s="48"/>
      <c r="G38" s="47"/>
    </row>
    <row r="39" spans="2:7" ht="20.100000000000001" customHeight="1">
      <c r="B39" s="290" t="s">
        <v>78</v>
      </c>
      <c r="C39" s="291"/>
      <c r="D39" s="291"/>
      <c r="E39" s="291"/>
      <c r="F39" s="51">
        <v>0.15</v>
      </c>
      <c r="G39" s="50">
        <f>(G36+G20)*F39</f>
        <v>27120863.916000005</v>
      </c>
    </row>
    <row r="40" spans="2:7" ht="20.100000000000001" customHeight="1" thickBot="1">
      <c r="B40" s="274" t="s">
        <v>79</v>
      </c>
      <c r="C40" s="275"/>
      <c r="D40" s="275"/>
      <c r="E40" s="276"/>
      <c r="F40" s="29">
        <v>0.03</v>
      </c>
      <c r="G40" s="21">
        <f>(G20)*F40</f>
        <v>4520143.9860000005</v>
      </c>
    </row>
    <row r="41" spans="2:7" ht="30" customHeight="1" thickBot="1">
      <c r="B41" s="277" t="s">
        <v>230</v>
      </c>
      <c r="C41" s="278"/>
      <c r="D41" s="278"/>
      <c r="E41" s="278"/>
      <c r="F41" s="278"/>
      <c r="G41" s="49">
        <f>SUM(G37:G40)</f>
        <v>294695976.94950002</v>
      </c>
    </row>
    <row r="42" spans="2:7" ht="30" customHeight="1" thickBot="1">
      <c r="B42" s="48"/>
      <c r="C42" s="48"/>
      <c r="D42" s="48"/>
      <c r="E42" s="48"/>
      <c r="F42" s="48"/>
      <c r="G42" s="47"/>
    </row>
    <row r="43" spans="2:7" ht="30" customHeight="1" thickBot="1">
      <c r="B43" s="267" t="s">
        <v>231</v>
      </c>
      <c r="C43" s="268"/>
      <c r="D43" s="268"/>
      <c r="E43" s="268"/>
      <c r="F43" s="268"/>
      <c r="G43" s="269"/>
    </row>
    <row r="44" spans="2:7" ht="20.100000000000001" customHeight="1">
      <c r="B44" s="46" t="s">
        <v>232</v>
      </c>
      <c r="C44" s="45" t="s">
        <v>233</v>
      </c>
      <c r="D44" s="45" t="s">
        <v>234</v>
      </c>
      <c r="E44" s="45" t="s">
        <v>235</v>
      </c>
      <c r="F44" s="44" t="s">
        <v>236</v>
      </c>
      <c r="G44" s="43" t="s">
        <v>237</v>
      </c>
    </row>
    <row r="45" spans="2:7" ht="20.100000000000001" customHeight="1">
      <c r="B45" s="265" t="s">
        <v>238</v>
      </c>
      <c r="C45" s="266">
        <v>60</v>
      </c>
      <c r="D45" s="42" t="s">
        <v>239</v>
      </c>
      <c r="E45" s="41">
        <v>340</v>
      </c>
      <c r="F45" s="270">
        <f>365*0.6</f>
        <v>219</v>
      </c>
      <c r="G45" s="271">
        <f>(F45*E45)</f>
        <v>74460</v>
      </c>
    </row>
    <row r="46" spans="2:7" ht="20.100000000000001" customHeight="1">
      <c r="B46" s="265"/>
      <c r="C46" s="266"/>
      <c r="D46" s="40" t="s">
        <v>240</v>
      </c>
      <c r="E46" s="39">
        <f>E45*1.15</f>
        <v>390.99999999999994</v>
      </c>
      <c r="F46" s="270"/>
      <c r="G46" s="271"/>
    </row>
    <row r="47" spans="2:7" ht="20.100000000000001" customHeight="1">
      <c r="B47" s="265" t="s">
        <v>241</v>
      </c>
      <c r="C47" s="266">
        <v>40</v>
      </c>
      <c r="D47" s="42" t="s">
        <v>242</v>
      </c>
      <c r="E47" s="41">
        <f>E45*1.7</f>
        <v>578</v>
      </c>
      <c r="F47" s="270">
        <f>365*0.6</f>
        <v>219</v>
      </c>
      <c r="G47" s="271">
        <f>(F47*E47)</f>
        <v>126582</v>
      </c>
    </row>
    <row r="48" spans="2:7" ht="20.100000000000001" customHeight="1">
      <c r="B48" s="265"/>
      <c r="C48" s="266"/>
      <c r="D48" s="40" t="s">
        <v>240</v>
      </c>
      <c r="E48" s="39">
        <f>E47*1.15</f>
        <v>664.69999999999993</v>
      </c>
      <c r="F48" s="270"/>
      <c r="G48" s="271"/>
    </row>
    <row r="49" spans="2:7" ht="20.100000000000001" customHeight="1">
      <c r="B49" s="265" t="s">
        <v>243</v>
      </c>
      <c r="C49" s="266">
        <v>20</v>
      </c>
      <c r="D49" s="42" t="s">
        <v>244</v>
      </c>
      <c r="E49" s="41">
        <f>E45*2.5</f>
        <v>850</v>
      </c>
      <c r="F49" s="270">
        <f>365*0.6</f>
        <v>219</v>
      </c>
      <c r="G49" s="271">
        <f>(F49*E49)</f>
        <v>186150</v>
      </c>
    </row>
    <row r="50" spans="2:7" ht="20.100000000000001" customHeight="1">
      <c r="B50" s="265"/>
      <c r="C50" s="266"/>
      <c r="D50" s="40" t="s">
        <v>240</v>
      </c>
      <c r="E50" s="39">
        <f>E49*1.15</f>
        <v>977.49999999999989</v>
      </c>
      <c r="F50" s="270"/>
      <c r="G50" s="271"/>
    </row>
    <row r="51" spans="2:7" ht="20.100000000000001" customHeight="1">
      <c r="B51" s="25" t="s">
        <v>245</v>
      </c>
      <c r="C51" s="24">
        <f>SUM(C45:C50)</f>
        <v>120</v>
      </c>
      <c r="D51" s="38"/>
      <c r="E51" s="37"/>
      <c r="F51" s="36"/>
      <c r="G51" s="31">
        <f>(G45*C45)+(G47*C47)+(G49*C49)</f>
        <v>13253880</v>
      </c>
    </row>
    <row r="52" spans="2:7" ht="20.100000000000001" customHeight="1">
      <c r="B52" s="25" t="s">
        <v>246</v>
      </c>
      <c r="C52" s="35">
        <v>0.2</v>
      </c>
      <c r="D52" s="34"/>
      <c r="E52" s="33"/>
      <c r="F52" s="32"/>
      <c r="G52" s="31">
        <f>G51*C52</f>
        <v>2650776</v>
      </c>
    </row>
    <row r="53" spans="2:7" ht="20.100000000000001" customHeight="1">
      <c r="B53" s="30" t="s">
        <v>89</v>
      </c>
      <c r="C53" s="29">
        <v>0.25</v>
      </c>
      <c r="D53" s="28"/>
      <c r="E53" s="27"/>
      <c r="F53" s="26"/>
      <c r="G53" s="21">
        <f>-(G51+G52)*C53</f>
        <v>-3976164</v>
      </c>
    </row>
    <row r="54" spans="2:7" ht="20.100000000000001" customHeight="1">
      <c r="B54" s="25" t="s">
        <v>247</v>
      </c>
      <c r="C54" s="24"/>
      <c r="D54" s="23">
        <f>E14*0.8</f>
        <v>9760</v>
      </c>
      <c r="E54" s="22">
        <v>1200</v>
      </c>
      <c r="G54" s="21">
        <f>(E54*D54)</f>
        <v>11712000</v>
      </c>
    </row>
    <row r="55" spans="2:7" ht="20.100000000000001" customHeight="1" thickBot="1">
      <c r="B55" s="20" t="s">
        <v>49</v>
      </c>
      <c r="C55" s="19">
        <v>1</v>
      </c>
      <c r="D55" s="18">
        <f>E13*0.8</f>
        <v>6400</v>
      </c>
      <c r="E55" s="17">
        <v>1000</v>
      </c>
      <c r="F55" s="16"/>
      <c r="G55" s="15">
        <f>(E55*D55)</f>
        <v>6400000</v>
      </c>
    </row>
    <row r="56" spans="2:7" ht="30" customHeight="1">
      <c r="B56" s="272" t="s">
        <v>221</v>
      </c>
      <c r="C56" s="273"/>
      <c r="D56" s="273"/>
      <c r="E56" s="273"/>
      <c r="F56" s="273"/>
      <c r="G56" s="14">
        <f>SUM(G51:G55)</f>
        <v>30040492</v>
      </c>
    </row>
    <row r="57" spans="2:7" ht="30" customHeight="1" thickBot="1">
      <c r="B57" s="262" t="s">
        <v>248</v>
      </c>
      <c r="C57" s="263"/>
      <c r="D57" s="264">
        <f>(G56/0.08)</f>
        <v>375506150</v>
      </c>
      <c r="E57" s="263"/>
      <c r="F57" s="13" t="s">
        <v>201</v>
      </c>
      <c r="G57" s="12">
        <f>D57/G41-1</f>
        <v>0.27421539271419326</v>
      </c>
    </row>
    <row r="58" spans="2:7" ht="30" customHeight="1">
      <c r="E58" s="11"/>
    </row>
    <row r="59" spans="2:7" ht="30" customHeight="1">
      <c r="E59" s="11"/>
    </row>
    <row r="60" spans="2:7" ht="30" customHeight="1"/>
  </sheetData>
  <mergeCells count="58">
    <mergeCell ref="B14:C14"/>
    <mergeCell ref="B7:C9"/>
    <mergeCell ref="B10:E10"/>
    <mergeCell ref="B11:G11"/>
    <mergeCell ref="B12:C12"/>
    <mergeCell ref="B13:C13"/>
    <mergeCell ref="B6:G6"/>
    <mergeCell ref="B2:E3"/>
    <mergeCell ref="F2:G5"/>
    <mergeCell ref="B4:C4"/>
    <mergeCell ref="D4:E5"/>
    <mergeCell ref="B5:C5"/>
    <mergeCell ref="B15:C15"/>
    <mergeCell ref="B19:C19"/>
    <mergeCell ref="B20:C20"/>
    <mergeCell ref="B21:G21"/>
    <mergeCell ref="B22:D22"/>
    <mergeCell ref="B18:C18"/>
    <mergeCell ref="B17:C17"/>
    <mergeCell ref="B16:C16"/>
    <mergeCell ref="C27:E27"/>
    <mergeCell ref="B23:B27"/>
    <mergeCell ref="C23:E23"/>
    <mergeCell ref="C24:E24"/>
    <mergeCell ref="C25:E25"/>
    <mergeCell ref="C26:E26"/>
    <mergeCell ref="B28:D28"/>
    <mergeCell ref="B29:D29"/>
    <mergeCell ref="B30:D30"/>
    <mergeCell ref="B31:B35"/>
    <mergeCell ref="C31:E31"/>
    <mergeCell ref="B40:E40"/>
    <mergeCell ref="B41:F41"/>
    <mergeCell ref="F31:F34"/>
    <mergeCell ref="G31:G34"/>
    <mergeCell ref="C32:E32"/>
    <mergeCell ref="C33:E33"/>
    <mergeCell ref="C34:E34"/>
    <mergeCell ref="C35:E35"/>
    <mergeCell ref="B36:E36"/>
    <mergeCell ref="B37:F37"/>
    <mergeCell ref="B39:E39"/>
    <mergeCell ref="B57:C57"/>
    <mergeCell ref="D57:E57"/>
    <mergeCell ref="B47:B48"/>
    <mergeCell ref="C47:C48"/>
    <mergeCell ref="B43:G43"/>
    <mergeCell ref="B45:B46"/>
    <mergeCell ref="C45:C46"/>
    <mergeCell ref="F45:F46"/>
    <mergeCell ref="G45:G46"/>
    <mergeCell ref="F47:F48"/>
    <mergeCell ref="G47:G48"/>
    <mergeCell ref="B49:B50"/>
    <mergeCell ref="C49:C50"/>
    <mergeCell ref="F49:F50"/>
    <mergeCell ref="G49:G50"/>
    <mergeCell ref="B56:F56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Financials</vt:lpstr>
      <vt:lpstr>Initial Study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 NASR</cp:lastModifiedBy>
  <cp:revision/>
  <dcterms:created xsi:type="dcterms:W3CDTF">2015-06-05T18:17:20Z</dcterms:created>
  <dcterms:modified xsi:type="dcterms:W3CDTF">2025-10-16T07:35:37Z</dcterms:modified>
  <cp:category/>
  <cp:contentStatus/>
</cp:coreProperties>
</file>